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7470" yWindow="570" windowWidth="22350" windowHeight="16440" tabRatio="82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 iterate="1" iterateCount="1000"/>
</workbook>
</file>

<file path=xl/calcChain.xml><?xml version="1.0" encoding="utf-8"?>
<calcChain xmlns="http://schemas.openxmlformats.org/spreadsheetml/2006/main">
  <c r="A15" i="7" l="1"/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H57" i="15"/>
  <c r="G57" i="15"/>
  <c r="C57" i="15"/>
  <c r="H56" i="15"/>
  <c r="G56" i="15"/>
  <c r="C56" i="15"/>
  <c r="H55" i="15"/>
  <c r="G55" i="15"/>
  <c r="C55" i="15"/>
  <c r="H54" i="15"/>
  <c r="G54" i="15"/>
  <c r="C54" i="15"/>
  <c r="H53" i="15"/>
  <c r="G53" i="15"/>
  <c r="C53" i="15"/>
  <c r="H52" i="15"/>
  <c r="G52" i="15"/>
  <c r="C52" i="15"/>
  <c r="H50" i="15"/>
  <c r="G50" i="15"/>
  <c r="C50" i="15"/>
  <c r="G49" i="15"/>
  <c r="C49" i="15"/>
  <c r="G48" i="15"/>
  <c r="C48" i="15"/>
  <c r="G47" i="15"/>
  <c r="C47" i="15"/>
  <c r="H46" i="15"/>
  <c r="G46" i="15"/>
  <c r="C46" i="15"/>
  <c r="H45" i="15"/>
  <c r="G45" i="15"/>
  <c r="C45" i="15"/>
  <c r="H44" i="15"/>
  <c r="G44" i="15"/>
  <c r="C44" i="15"/>
  <c r="H42" i="15"/>
  <c r="C42" i="15"/>
  <c r="C41" i="15"/>
  <c r="C40" i="15"/>
  <c r="C39" i="15"/>
  <c r="H38" i="15"/>
  <c r="C38" i="15"/>
  <c r="H37" i="15"/>
  <c r="C37" i="15"/>
  <c r="H36" i="15"/>
  <c r="C36" i="15"/>
  <c r="G34" i="15"/>
  <c r="C34" i="15"/>
  <c r="G33" i="15"/>
  <c r="C33" i="15"/>
  <c r="G32" i="15"/>
  <c r="C32" i="15"/>
  <c r="G31" i="15"/>
  <c r="C31" i="15"/>
  <c r="G30" i="15"/>
  <c r="F30" i="15"/>
  <c r="F31" i="15" s="1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5" i="7"/>
  <c r="B44" i="22" l="1"/>
  <c r="B46" i="22"/>
  <c r="E37" i="15" l="1"/>
  <c r="E38" i="15"/>
  <c r="E39" i="15"/>
  <c r="E40" i="15"/>
  <c r="E41" i="15"/>
  <c r="E42" i="15"/>
  <c r="E36" i="15"/>
  <c r="A11" i="24" l="1"/>
  <c r="B29" i="22" l="1"/>
  <c r="A12" i="23" l="1"/>
  <c r="A13" i="28"/>
  <c r="A11" i="27"/>
  <c r="A12" i="26"/>
  <c r="A13" i="25"/>
  <c r="B57" i="22" l="1"/>
  <c r="B54" i="22" s="1"/>
  <c r="B71" i="22"/>
  <c r="G22" i="16" l="1"/>
  <c r="B30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C49" i="7" l="1"/>
  <c r="C48" i="7"/>
  <c r="A12" i="5"/>
  <c r="A12" i="22"/>
  <c r="B80" i="22" l="1"/>
  <c r="B22" i="22"/>
  <c r="A16" i="25" l="1"/>
  <c r="B21" i="22"/>
  <c r="A16" i="28"/>
  <c r="A14" i="27"/>
  <c r="A14" i="24"/>
  <c r="A15" i="26"/>
  <c r="A15" i="23"/>
  <c r="A15" i="6"/>
  <c r="A15" i="16" s="1"/>
  <c r="A14" i="15" s="1"/>
  <c r="A15" i="22" l="1"/>
  <c r="A15" i="5"/>
  <c r="B23" i="22" l="1"/>
  <c r="D22" i="24" l="1"/>
  <c r="E49" i="15" l="1"/>
  <c r="E46" i="15"/>
  <c r="E47" i="15"/>
  <c r="E34" i="15"/>
  <c r="D26" i="15"/>
  <c r="E64" i="15"/>
  <c r="E61" i="15"/>
  <c r="E44" i="15"/>
  <c r="E33" i="15"/>
  <c r="E45" i="15"/>
  <c r="E56" i="15"/>
  <c r="E54" i="15"/>
  <c r="E52" i="15"/>
  <c r="E31" i="15"/>
  <c r="E57" i="15"/>
  <c r="E55" i="15"/>
  <c r="E63" i="15"/>
  <c r="E50" i="15"/>
  <c r="E62" i="15"/>
  <c r="D25" i="15"/>
  <c r="E53" i="15"/>
  <c r="E60" i="15"/>
  <c r="E32" i="15"/>
  <c r="E48" i="15"/>
  <c r="F26" i="15" l="1"/>
  <c r="E26" i="15" s="1"/>
  <c r="C26" i="15"/>
  <c r="C29" i="15"/>
  <c r="C25" i="15"/>
  <c r="E29" i="15"/>
  <c r="F25" i="15"/>
  <c r="E25" i="15" s="1"/>
  <c r="C28" i="15"/>
  <c r="E28" i="15"/>
  <c r="D28" i="15"/>
  <c r="D61" i="15" l="1"/>
  <c r="D62" i="15" l="1"/>
  <c r="D60" i="15"/>
  <c r="D64" i="15" l="1"/>
  <c r="D63" i="15" l="1"/>
  <c r="F27" i="15" l="1"/>
  <c r="E27" i="15" s="1"/>
  <c r="C27" i="15"/>
  <c r="B49" i="22" l="1"/>
  <c r="B56" i="22" s="1"/>
  <c r="B52" i="22" s="1"/>
  <c r="D29" i="15" l="1"/>
  <c r="B63" i="22" l="1"/>
  <c r="B62" i="22" s="1"/>
  <c r="B61" i="22" l="1"/>
  <c r="D27" i="15"/>
  <c r="B60" i="22" l="1"/>
  <c r="I30" i="15" l="1"/>
  <c r="H30" i="15" l="1"/>
  <c r="D52" i="15"/>
  <c r="D47" i="15" l="1"/>
  <c r="D39" i="15"/>
  <c r="D56" i="15"/>
  <c r="D38" i="15"/>
  <c r="D55" i="15"/>
  <c r="D46" i="15"/>
  <c r="D57" i="15"/>
  <c r="D50" i="15"/>
  <c r="D42" i="15"/>
  <c r="D37" i="15"/>
  <c r="D54" i="15"/>
  <c r="D45" i="15"/>
  <c r="K39" i="15" l="1"/>
  <c r="K47" i="15"/>
  <c r="K48" i="15"/>
  <c r="K40" i="15"/>
  <c r="J49" i="15"/>
  <c r="J41" i="15"/>
  <c r="K41" i="15"/>
  <c r="K49" i="15"/>
  <c r="I39" i="15"/>
  <c r="I47" i="15"/>
  <c r="J48" i="15"/>
  <c r="J40" i="15"/>
  <c r="H48" i="15"/>
  <c r="H40" i="15"/>
  <c r="I48" i="15"/>
  <c r="I40" i="15"/>
  <c r="J47" i="15"/>
  <c r="J39" i="15"/>
  <c r="H39" i="15"/>
  <c r="H47" i="15"/>
  <c r="I49" i="15"/>
  <c r="I41" i="15"/>
  <c r="H49" i="15"/>
  <c r="H41" i="15"/>
  <c r="J30" i="15" l="1"/>
  <c r="K30" i="15"/>
  <c r="J31" i="15"/>
  <c r="J32" i="15"/>
  <c r="J34" i="15"/>
  <c r="J33" i="15"/>
  <c r="K33" i="15" l="1"/>
  <c r="D33" i="15"/>
  <c r="K34" i="15"/>
  <c r="D34" i="15"/>
  <c r="K31" i="15"/>
  <c r="D31" i="15"/>
  <c r="K32" i="15"/>
  <c r="D32" i="15"/>
  <c r="J52" i="15"/>
  <c r="K52" i="15"/>
  <c r="K56" i="15"/>
  <c r="J56" i="15"/>
  <c r="I56" i="15"/>
  <c r="I52" i="15"/>
  <c r="I55" i="15" l="1"/>
  <c r="I46" i="15"/>
  <c r="I38" i="15"/>
  <c r="K54" i="15"/>
  <c r="K45" i="15"/>
  <c r="K37" i="15"/>
  <c r="K53" i="15"/>
  <c r="K44" i="15"/>
  <c r="K36" i="15"/>
  <c r="J55" i="15"/>
  <c r="J46" i="15"/>
  <c r="J38" i="15"/>
  <c r="I37" i="15"/>
  <c r="I54" i="15"/>
  <c r="I45" i="15"/>
  <c r="J53" i="15"/>
  <c r="J44" i="15"/>
  <c r="J36" i="15"/>
  <c r="I53" i="15"/>
  <c r="I44" i="15"/>
  <c r="I36" i="15"/>
  <c r="J57" i="15"/>
  <c r="J50" i="15"/>
  <c r="J42" i="15"/>
  <c r="J54" i="15"/>
  <c r="J45" i="15"/>
  <c r="J37" i="15"/>
  <c r="K38" i="15"/>
  <c r="K55" i="15"/>
  <c r="K46" i="15"/>
  <c r="K42" i="15" l="1"/>
  <c r="K57" i="15"/>
  <c r="K50" i="15"/>
  <c r="I57" i="15"/>
  <c r="I50" i="15"/>
  <c r="I42" i="15"/>
</calcChain>
</file>

<file path=xl/sharedStrings.xml><?xml version="1.0" encoding="utf-8"?>
<sst xmlns="http://schemas.openxmlformats.org/spreadsheetml/2006/main" count="1165" uniqueCount="510">
  <si>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</si>
  <si>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</si>
  <si>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</si>
  <si>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</si>
  <si>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</si>
  <si>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</si>
  <si>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</si>
  <si>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</si>
  <si>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</si>
  <si>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</si>
  <si>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</si>
  <si>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</si>
  <si>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</si>
  <si>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</si>
  <si>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</si>
  <si>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</si>
  <si>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</si>
  <si>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</si>
  <si>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</si>
  <si>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</si>
  <si>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</si>
  <si>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</si>
  <si>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</si>
  <si>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</si>
  <si>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</si>
  <si>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</si>
  <si>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</si>
  <si>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</si>
  <si>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</si>
  <si>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</si>
  <si>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</si>
  <si>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</si>
  <si>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</si>
  <si>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</si>
  <si>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</si>
  <si>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</si>
  <si>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</si>
  <si>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</si>
  <si>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</si>
  <si>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</si>
  <si>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</si>
  <si>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</si>
  <si>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</si>
  <si>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</si>
  <si>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</si>
  <si>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</si>
  <si>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</si>
  <si>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</si>
  <si>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</si>
  <si>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</si>
  <si>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</si>
  <si>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</si>
  <si>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</si>
  <si>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</si>
  <si>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</si>
  <si>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</si>
  <si>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</si>
  <si>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</si>
  <si>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</si>
  <si>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</si>
  <si>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</si>
  <si>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</si>
  <si>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</si>
  <si>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</si>
  <si>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</si>
  <si>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</si>
  <si>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</si>
  <si>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</si>
  <si>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</si>
  <si>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</si>
  <si>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</si>
  <si>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</si>
  <si>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</si>
  <si>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</si>
  <si>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</si>
  <si>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</si>
  <si>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</si>
  <si>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</si>
  <si>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</si>
  <si>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</si>
  <si>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</si>
  <si>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</si>
  <si>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</si>
  <si>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</si>
  <si>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</si>
  <si>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</si>
  <si>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</si>
  <si>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</si>
  <si>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</si>
  <si>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</si>
  <si>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</si>
  <si>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</si>
  <si>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</si>
  <si>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</si>
  <si>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</si>
  <si>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</si>
  <si>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</si>
  <si>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</si>
  <si>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</si>
  <si>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</si>
  <si>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</si>
  <si>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</si>
  <si>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</si>
  <si>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</si>
  <si>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</si>
  <si>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</si>
  <si>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</si>
  <si>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</si>
  <si>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</si>
  <si>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</si>
  <si>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</si>
  <si>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</si>
  <si>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</si>
  <si>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</si>
  <si>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</si>
  <si>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</si>
  <si>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</si>
  <si>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</si>
  <si>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</si>
  <si>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</si>
  <si>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</si>
  <si>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</si>
  <si>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</si>
  <si>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</si>
  <si>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</si>
  <si>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</si>
  <si>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</si>
  <si>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</si>
  <si>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</si>
  <si>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</si>
  <si>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</si>
  <si>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</si>
  <si>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</si>
  <si>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</si>
  <si>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</si>
  <si>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</si>
  <si>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</si>
  <si>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</si>
  <si>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</si>
  <si>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</si>
  <si>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</si>
  <si>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</si>
  <si>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</si>
  <si>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</si>
  <si>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</si>
  <si>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</si>
  <si>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</si>
  <si>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</si>
  <si>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</si>
  <si>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</si>
  <si>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</si>
  <si>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</si>
  <si>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</si>
  <si>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</si>
  <si>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</si>
  <si>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</si>
  <si>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</si>
  <si>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</si>
  <si>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</si>
  <si>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</si>
  <si>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</si>
  <si>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</si>
  <si>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</si>
  <si>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</si>
  <si>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</si>
  <si>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</si>
  <si>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</si>
  <si>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</si>
  <si>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</si>
  <si>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</si>
  <si>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</si>
  <si>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</si>
  <si>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</si>
  <si>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</si>
  <si>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</si>
  <si>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</si>
  <si>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</si>
  <si>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</si>
  <si>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</si>
  <si>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</si>
  <si>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</si>
  <si>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</si>
  <si>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</si>
  <si>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</si>
  <si>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</si>
  <si>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</si>
  <si>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</si>
  <si>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</si>
  <si>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</si>
  <si>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</si>
  <si>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</si>
  <si>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</si>
  <si>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</si>
  <si>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</si>
  <si>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</si>
  <si>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</si>
  <si>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</si>
  <si>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</si>
  <si>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</si>
  <si>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</si>
  <si>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</si>
  <si>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</si>
  <si>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</si>
  <si>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</si>
  <si>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</si>
  <si>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</si>
  <si>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</si>
  <si>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</si>
  <si>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</si>
  <si>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</si>
  <si>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</si>
  <si>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</si>
  <si>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</si>
  <si>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</si>
  <si>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</si>
  <si>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</si>
  <si>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</si>
  <si>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</si>
  <si>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</si>
  <si>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</si>
  <si>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</si>
  <si>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</si>
  <si>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</si>
  <si>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</si>
  <si>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</si>
  <si>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</si>
  <si>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</si>
  <si>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</si>
  <si>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</si>
  <si>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</si>
  <si>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</si>
  <si>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</si>
  <si>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</si>
  <si>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</si>
  <si>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</si>
  <si>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</si>
  <si>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</si>
  <si>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</si>
  <si>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</si>
  <si>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</si>
  <si>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</si>
  <si>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</si>
  <si>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</si>
  <si>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</si>
  <si>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</si>
  <si>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</si>
  <si>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</si>
  <si>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</si>
  <si>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</si>
  <si>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</si>
  <si>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</si>
  <si>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</si>
  <si>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</si>
  <si>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</si>
  <si>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</si>
  <si>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</si>
  <si>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</si>
  <si>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</si>
  <si>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</si>
  <si>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</si>
  <si>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</si>
  <si>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</si>
  <si>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</si>
  <si>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</si>
  <si>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</si>
  <si>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</si>
  <si>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</si>
  <si>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</si>
  <si>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</si>
  <si>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</si>
  <si>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</si>
  <si>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</si>
  <si>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</si>
  <si>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</si>
  <si>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</si>
  <si>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</si>
  <si>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</si>
  <si>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</si>
  <si>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</si>
  <si>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</si>
  <si>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</si>
  <si>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</si>
  <si>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</si>
  <si>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</si>
  <si>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</si>
  <si>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</si>
  <si>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</si>
  <si>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</si>
  <si>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</si>
  <si>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</si>
  <si>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</si>
  <si>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</si>
  <si>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</si>
  <si>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</si>
  <si>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</si>
  <si>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</si>
  <si>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</si>
  <si>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</si>
  <si>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</si>
  <si>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</si>
  <si>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</si>
  <si>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</si>
  <si>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</si>
  <si>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</si>
  <si>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</si>
  <si>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</si>
  <si>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</si>
  <si>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</si>
  <si>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</si>
  <si>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</si>
  <si>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</si>
  <si>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</si>
  <si>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</si>
  <si>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</si>
  <si>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</si>
  <si>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</si>
  <si>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</si>
  <si>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</si>
  <si>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</si>
  <si>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</si>
  <si>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</si>
  <si>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</si>
  <si>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</si>
  <si>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</si>
  <si>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</si>
  <si>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</si>
  <si>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</si>
  <si>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</si>
  <si>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</si>
  <si>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</si>
  <si>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</si>
  <si>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</si>
  <si>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</si>
  <si>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</si>
  <si>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</si>
  <si>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</si>
  <si>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</si>
  <si>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</si>
  <si>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</si>
  <si>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</si>
  <si>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</si>
  <si>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</si>
  <si>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</si>
  <si>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</si>
  <si>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</si>
  <si>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</si>
  <si>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</si>
  <si>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</si>
  <si>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</si>
  <si>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</si>
  <si>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</si>
  <si>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</si>
  <si>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</si>
  <si>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</si>
  <si>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</si>
  <si>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</si>
  <si>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</si>
  <si>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</si>
  <si>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</si>
  <si>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</si>
  <si>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</si>
  <si>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</si>
  <si>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</si>
  <si>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</si>
  <si>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</si>
  <si>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</si>
  <si>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</si>
  <si>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</si>
  <si>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</si>
  <si>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</si>
  <si>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</si>
  <si>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</si>
  <si>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</si>
  <si>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</si>
  <si>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</si>
  <si>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</si>
  <si>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</si>
  <si>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</si>
  <si>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</si>
  <si>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</si>
  <si>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</si>
  <si>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</si>
  <si>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</si>
  <si>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</si>
  <si>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</si>
  <si>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</si>
  <si>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</si>
  <si>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</si>
  <si>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</si>
  <si>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</si>
  <si>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</si>
  <si>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</si>
  <si>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</si>
  <si>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</si>
  <si>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</si>
  <si>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</si>
  <si>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</si>
  <si>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</si>
  <si>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</si>
  <si>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</si>
  <si>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</si>
  <si>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</si>
  <si>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</si>
  <si>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</si>
  <si>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</si>
  <si>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</si>
  <si>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</si>
  <si>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</si>
  <si>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</si>
  <si>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</si>
  <si>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</si>
  <si>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</si>
  <si>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</si>
  <si>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</si>
  <si>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</si>
  <si>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</si>
  <si>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</si>
  <si>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</si>
  <si>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</si>
  <si>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</si>
  <si>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</si>
  <si>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</si>
  <si>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</si>
  <si>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</si>
  <si>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</si>
  <si>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</si>
  <si>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</si>
  <si>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</si>
  <si>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</si>
  <si>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</si>
  <si>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</si>
  <si>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</si>
  <si>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</si>
  <si>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</si>
  <si>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</si>
  <si>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</si>
  <si>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</si>
  <si>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</si>
  <si>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</si>
  <si>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</si>
  <si>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</si>
  <si>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</si>
  <si>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</si>
  <si>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</si>
  <si>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</si>
  <si>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</si>
  <si>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</si>
  <si>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</si>
  <si>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</si>
  <si>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</si>
  <si>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</si>
  <si>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</si>
  <si>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</si>
  <si>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</si>
  <si>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</si>
  <si>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</si>
  <si>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</si>
  <si>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</si>
  <si>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</si>
  <si>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</si>
  <si>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</si>
  <si>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</si>
  <si>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</si>
  <si>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</si>
  <si>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</si>
  <si>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объем заключенного договора в ценах _2021_ года с НДС, млн. руб.</t>
  </si>
  <si>
    <t>rosseti.roseltorg.ru</t>
  </si>
  <si>
    <t>объем заключенного договора в ценах __2023___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</si>
  <si>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</si>
  <si>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</si>
  <si>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</si>
  <si>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</si>
  <si>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местный</t>
  </si>
  <si>
    <t>не предусмотрен</t>
  </si>
  <si>
    <t>не проводились</t>
  </si>
  <si>
    <t>п</t>
  </si>
  <si>
    <t>3,6 км (3,6 км)</t>
  </si>
  <si>
    <t>Проектирование</t>
  </si>
  <si>
    <t>строительство</t>
  </si>
  <si>
    <t>P_Che491_25</t>
  </si>
  <si>
    <t>Курчалоевский район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</si>
  <si>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- 13,0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- 38,54 млн.руб.</t>
  </si>
  <si>
    <t>№ 32101/2024/ЧЭ/КУРРЭС от 28.12.2024г</t>
  </si>
  <si>
    <t>Военный городок</t>
  </si>
  <si>
    <t>Исполнение обязательств по договору технологического присоединения № 32101/2024/ЧЭ/КУРРЭС от 28.12.2024г</t>
  </si>
  <si>
    <t>Технологическое присоединение ФКП "Управления заказчикаКС Минобороны России"  3,06 МВт</t>
  </si>
  <si>
    <t>Договор технологического присоединения от 28.12.2024г № 32101/2024/ЧЭ/КУРРЭС</t>
  </si>
  <si>
    <t>ООО "Энерго-Стройсервис" № 40-2025-ПИР-ЧЭ от 12.08.25г.</t>
  </si>
  <si>
    <t>объем заключенного договора в ценах __2025____ года с НДС, млн. руб.</t>
  </si>
  <si>
    <t>ООО "Энерго-Стройсервис"</t>
  </si>
  <si>
    <t>ПС 110 кВ Курчалой</t>
  </si>
  <si>
    <t>3,0599 МВт</t>
  </si>
  <si>
    <t>15.09.2025</t>
  </si>
  <si>
    <t>ПИР</t>
  </si>
  <si>
    <t>АО Чеченэнерго</t>
  </si>
  <si>
    <t>ТЗ</t>
  </si>
  <si>
    <t>ОК</t>
  </si>
  <si>
    <t>ООО "Электро-Стройсервис"</t>
  </si>
  <si>
    <t>5 593 ,16</t>
  </si>
  <si>
    <t xml:space="preserve">                           №32514994328</t>
  </si>
  <si>
    <t>ООО "Энерго-Стройсервис" № 40-2025-ПИР-ЧЭ от 12.08.2025г.</t>
  </si>
  <si>
    <t>4 кв. 2026</t>
  </si>
  <si>
    <t>Строительство  ВЛ 10 кВ от резервной линейной ячейки Ф-21 на 1СШ РУ-10 кВ ПС Курчалой до границы земельного участка Заявителя, протяженностью 6,5 км.. Строительство ВЛ-10 кВ  от резервной линейной ячейки Ф-18 на для 11 СШ РУ-10кВ ПС 110 кВ Курчалой до границы земельного участка Заявителя, протяженностью 6,5 км.,</t>
  </si>
  <si>
    <t>Факт 2024 года</t>
  </si>
  <si>
    <t>2025 год</t>
  </si>
  <si>
    <t>Предложение по корректировке плана</t>
  </si>
  <si>
    <t xml:space="preserve"> по состоянию на 01.01.2024</t>
  </si>
  <si>
    <t>по состоянию на 01.01.2025</t>
  </si>
  <si>
    <t>Итого за год</t>
  </si>
  <si>
    <t>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</si>
</sst>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57" applyFont="1" applyAlignment="1">
      <alignment vertical="center"/>
    </xf>
    <xf numFmtId="0" fontId="9" fillId="0" borderId="0" xfId="57" applyFont="1"/>
    <xf numFmtId="49" fontId="6" fillId="0" borderId="10" xfId="57" applyNumberFormat="1" applyFont="1" applyBorder="1" applyAlignment="1">
      <alignment vertical="center"/>
    </xf>
    <xf numFmtId="0" fontId="10" fillId="0" borderId="10" xfId="43" applyBorder="1" applyAlignment="1">
      <alignment vertical="center" wrapText="1"/>
    </xf>
    <xf numFmtId="0" fontId="10" fillId="0" borderId="11" xfId="43" applyBorder="1" applyAlignment="1">
      <alignment vertical="center" wrapText="1"/>
    </xf>
    <xf numFmtId="0" fontId="10" fillId="0" borderId="0" xfId="43" applyAlignment="1">
      <alignment horizontal="right"/>
    </xf>
    <xf numFmtId="0" fontId="10" fillId="0" borderId="0" xfId="43"/>
    <xf numFmtId="0" fontId="10" fillId="0" borderId="0" xfId="43" applyAlignment="1">
      <alignment horizontal="center" vertical="center" wrapText="1"/>
    </xf>
    <xf numFmtId="0" fontId="10" fillId="0" borderId="0" xfId="43" applyAlignment="1">
      <alignment horizontal="left" vertical="center" wrapText="1"/>
    </xf>
    <xf numFmtId="0" fontId="39" fillId="0" borderId="10" xfId="43" applyFont="1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37" fillId="0" borderId="0" xfId="43" applyFont="1"/>
    <xf numFmtId="0" fontId="39" fillId="0" borderId="15" xfId="43" applyFont="1" applyBorder="1" applyAlignment="1">
      <alignment vertical="center" wrapText="1"/>
    </xf>
    <xf numFmtId="0" fontId="39" fillId="0" borderId="16" xfId="43" applyFont="1" applyBorder="1" applyAlignment="1">
      <alignment vertical="center" wrapText="1"/>
    </xf>
    <xf numFmtId="0" fontId="42" fillId="0" borderId="0" xfId="43" applyFont="1" applyAlignment="1">
      <alignment horizontal="center"/>
    </xf>
    <xf numFmtId="0" fontId="6" fillId="0" borderId="10" xfId="57" applyFont="1" applyBorder="1" applyAlignment="1">
      <alignment horizontal="left" vertical="center" wrapText="1"/>
    </xf>
    <xf numFmtId="0" fontId="39" fillId="0" borderId="0" xfId="0" applyFont="1"/>
    <xf numFmtId="0" fontId="39" fillId="0" borderId="0" xfId="0" applyFont="1" applyAlignment="1">
      <alignment vertical="center"/>
    </xf>
    <xf numFmtId="0" fontId="14" fillId="0" borderId="0" xfId="57" applyFont="1"/>
    <xf numFmtId="0" fontId="11" fillId="0" borderId="0" xfId="43" applyFont="1" applyAlignment="1">
      <alignment horizontal="right" vertical="center"/>
    </xf>
    <xf numFmtId="0" fontId="11" fillId="0" borderId="0" xfId="43" applyFont="1" applyAlignment="1">
      <alignment horizontal="right"/>
    </xf>
    <xf numFmtId="0" fontId="12" fillId="0" borderId="0" xfId="57" applyFont="1" applyAlignment="1">
      <alignment horizontal="left" vertical="center"/>
    </xf>
    <xf numFmtId="0" fontId="12" fillId="0" borderId="0" xfId="57" applyFont="1" applyAlignment="1">
      <alignment horizontal="center" vertical="center"/>
    </xf>
    <xf numFmtId="0" fontId="9" fillId="0" borderId="0" xfId="57" applyFont="1" applyAlignment="1">
      <alignment horizontal="center"/>
    </xf>
    <xf numFmtId="0" fontId="54" fillId="0" borderId="0" xfId="58"/>
    <xf numFmtId="49" fontId="6" fillId="0" borderId="10" xfId="57" applyNumberFormat="1" applyFont="1" applyBorder="1" applyAlignment="1">
      <alignment horizontal="center" vertical="center" wrapText="1"/>
    </xf>
    <xf numFmtId="49" fontId="6" fillId="0" borderId="10" xfId="57" applyNumberFormat="1" applyFont="1" applyBorder="1" applyAlignment="1">
      <alignment horizontal="left" vertical="center" wrapText="1"/>
    </xf>
    <xf numFmtId="0" fontId="10" fillId="0" borderId="10" xfId="43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0" fillId="0" borderId="0" xfId="43" applyAlignment="1">
      <alignment vertical="center" wrapText="1"/>
    </xf>
    <xf numFmtId="14" fontId="37" fillId="0" borderId="10" xfId="60" applyNumberFormat="1" applyFont="1" applyBorder="1" applyAlignment="1">
      <alignment horizontal="center" vertical="center" wrapText="1"/>
    </xf>
    <xf numFmtId="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43" fillId="0" borderId="10" xfId="43" applyFont="1" applyBorder="1" applyAlignment="1">
      <alignment horizontal="center" vertical="center" wrapText="1"/>
    </xf>
    <xf numFmtId="0" fontId="5" fillId="0" borderId="0" xfId="57" applyFont="1"/>
    <xf numFmtId="0" fontId="35" fillId="0" borderId="10" xfId="43" applyFont="1" applyBorder="1" applyAlignment="1">
      <alignment horizontal="center" vertical="center" wrapText="1"/>
    </xf>
    <xf numFmtId="0" fontId="10" fillId="0" borderId="0" xfId="41" applyFont="1" applyAlignment="1">
      <alignment horizontal="left" vertical="center"/>
    </xf>
    <xf numFmtId="0" fontId="10" fillId="0" borderId="0" xfId="41" applyFont="1" applyAlignment="1">
      <alignment horizontal="left"/>
    </xf>
    <xf numFmtId="0" fontId="39" fillId="0" borderId="10" xfId="41" applyFont="1" applyBorder="1" applyAlignment="1">
      <alignment horizontal="center" vertical="center" wrapText="1"/>
    </xf>
    <xf numFmtId="0" fontId="10" fillId="0" borderId="10" xfId="41" applyFont="1" applyBorder="1" applyAlignment="1">
      <alignment horizontal="center" vertical="top"/>
    </xf>
    <xf numFmtId="0" fontId="10" fillId="0" borderId="10" xfId="41" applyFont="1" applyBorder="1" applyAlignment="1">
      <alignment horizontal="left" vertical="center"/>
    </xf>
    <xf numFmtId="0" fontId="10" fillId="0" borderId="10" xfId="41" applyFont="1" applyBorder="1" applyAlignment="1">
      <alignment horizontal="center" vertical="center" wrapText="1"/>
    </xf>
    <xf numFmtId="0" fontId="34" fillId="0" borderId="0" xfId="54" applyFont="1"/>
    <xf numFmtId="0" fontId="35" fillId="0" borderId="0" xfId="54" applyFont="1"/>
    <xf numFmtId="0" fontId="24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6" fillId="0" borderId="0" xfId="57"/>
    <xf numFmtId="167" fontId="10" fillId="0" borderId="0" xfId="43" applyNumberFormat="1"/>
    <xf numFmtId="0" fontId="4" fillId="0" borderId="0" xfId="57" applyFont="1" applyAlignment="1">
      <alignment vertical="center"/>
    </xf>
    <xf numFmtId="49" fontId="58" fillId="0" borderId="10" xfId="57" applyNumberFormat="1" applyFont="1" applyBorder="1" applyAlignment="1">
      <alignment vertical="center"/>
    </xf>
    <xf numFmtId="0" fontId="58" fillId="0" borderId="11" xfId="57" applyFont="1" applyBorder="1" applyAlignment="1">
      <alignment vertical="center" wrapText="1"/>
    </xf>
    <xf numFmtId="0" fontId="58" fillId="0" borderId="10" xfId="57" applyFont="1" applyBorder="1" applyAlignment="1">
      <alignment horizontal="left" vertical="center" wrapText="1"/>
    </xf>
    <xf numFmtId="0" fontId="62" fillId="0" borderId="11" xfId="57" applyFont="1" applyBorder="1" applyAlignment="1">
      <alignment horizontal="center" vertical="center" wrapText="1"/>
    </xf>
    <xf numFmtId="0" fontId="3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39" fillId="0" borderId="12" xfId="41" applyFont="1" applyBorder="1" applyAlignment="1">
      <alignment horizontal="center" vertical="center" wrapText="1"/>
    </xf>
    <xf numFmtId="0" fontId="39" fillId="0" borderId="0" xfId="43" applyFont="1" applyAlignment="1">
      <alignment horizontal="center" vertical="top" wrapText="1"/>
    </xf>
    <xf numFmtId="0" fontId="10" fillId="0" borderId="0" xfId="43" applyAlignment="1">
      <alignment horizontal="left" wrapText="1"/>
    </xf>
    <xf numFmtId="0" fontId="8" fillId="0" borderId="0" xfId="57" applyFont="1" applyAlignment="1">
      <alignment vertical="center"/>
    </xf>
    <xf numFmtId="0" fontId="6" fillId="0" borderId="0" xfId="57" applyFont="1" applyAlignment="1">
      <alignment vertical="center"/>
    </xf>
    <xf numFmtId="0" fontId="58" fillId="0" borderId="0" xfId="57" applyFont="1" applyAlignment="1">
      <alignment horizontal="center" vertical="center"/>
    </xf>
    <xf numFmtId="0" fontId="7" fillId="0" borderId="0" xfId="57" applyFont="1" applyAlignment="1">
      <alignment vertical="center"/>
    </xf>
    <xf numFmtId="0" fontId="58" fillId="0" borderId="0" xfId="57" applyFont="1" applyAlignment="1">
      <alignment vertical="center"/>
    </xf>
    <xf numFmtId="0" fontId="58" fillId="0" borderId="10" xfId="57" applyFont="1" applyBorder="1" applyAlignment="1">
      <alignment vertical="center" wrapText="1"/>
    </xf>
    <xf numFmtId="0" fontId="58" fillId="0" borderId="11" xfId="57" applyFont="1" applyBorder="1" applyAlignment="1">
      <alignment horizontal="center" vertical="center" wrapText="1"/>
    </xf>
    <xf numFmtId="0" fontId="58" fillId="0" borderId="10" xfId="57" applyFont="1" applyBorder="1" applyAlignment="1">
      <alignment horizontal="center" vertical="center" wrapText="1"/>
    </xf>
    <xf numFmtId="0" fontId="58" fillId="0" borderId="11" xfId="57" applyFont="1" applyBorder="1" applyAlignment="1">
      <alignment horizontal="left" vertical="center" wrapText="1"/>
    </xf>
    <xf numFmtId="0" fontId="59" fillId="0" borderId="0" xfId="57" applyFont="1"/>
    <xf numFmtId="2" fontId="44" fillId="0" borderId="0" xfId="43" applyNumberFormat="1" applyFont="1" applyAlignment="1">
      <alignment horizontal="right" vertical="top" wrapText="1"/>
    </xf>
    <xf numFmtId="0" fontId="37" fillId="0" borderId="0" xfId="43" applyFont="1" applyAlignment="1">
      <alignment horizontal="right"/>
    </xf>
    <xf numFmtId="0" fontId="38" fillId="0" borderId="0" xfId="43" applyFont="1" applyAlignment="1">
      <alignment horizontal="justify" vertical="top" wrapText="1"/>
    </xf>
    <xf numFmtId="0" fontId="34" fillId="0" borderId="0" xfId="53" applyFont="1"/>
    <xf numFmtId="0" fontId="34" fillId="0" borderId="0" xfId="53" applyFont="1" applyAlignment="1">
      <alignment vertical="center" wrapText="1"/>
    </xf>
    <xf numFmtId="0" fontId="35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 wrapText="1"/>
    </xf>
    <xf numFmtId="0" fontId="39" fillId="0" borderId="0" xfId="43" applyFont="1" applyAlignment="1">
      <alignment vertical="center" wrapText="1"/>
    </xf>
    <xf numFmtId="0" fontId="39" fillId="0" borderId="10" xfId="43" applyFont="1" applyBorder="1" applyAlignment="1">
      <alignment vertical="center" wrapText="1"/>
    </xf>
    <xf numFmtId="0" fontId="10" fillId="0" borderId="10" xfId="43" applyBorder="1" applyAlignment="1">
      <alignment horizontal="justify" vertical="center" wrapText="1"/>
    </xf>
    <xf numFmtId="0" fontId="36" fillId="0" borderId="10" xfId="57" applyFont="1" applyBorder="1" applyAlignment="1">
      <alignment horizontal="center" vertical="center" wrapText="1"/>
    </xf>
    <xf numFmtId="0" fontId="36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wrapText="1"/>
    </xf>
    <xf numFmtId="0" fontId="24" fillId="0" borderId="0" xfId="0" applyFont="1"/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39" fillId="0" borderId="10" xfId="41" applyFont="1" applyBorder="1" applyAlignment="1">
      <alignment horizontal="center" vertical="top"/>
    </xf>
    <xf numFmtId="0" fontId="39" fillId="0" borderId="10" xfId="41" applyFont="1" applyBorder="1" applyAlignment="1">
      <alignment horizontal="left" vertical="center"/>
    </xf>
    <xf numFmtId="0" fontId="49" fillId="0" borderId="0" xfId="41" applyFont="1" applyAlignment="1">
      <alignment horizontal="left"/>
    </xf>
    <xf numFmtId="0" fontId="48" fillId="0" borderId="0" xfId="41" applyFont="1" applyAlignment="1">
      <alignment horizontal="left"/>
    </xf>
    <xf numFmtId="0" fontId="10" fillId="0" borderId="0" xfId="41" applyFont="1" applyAlignment="1">
      <alignment vertical="center"/>
    </xf>
    <xf numFmtId="0" fontId="10" fillId="0" borderId="0" xfId="41" applyFont="1" applyAlignment="1">
      <alignment vertical="top" wrapText="1"/>
    </xf>
    <xf numFmtId="0" fontId="36" fillId="0" borderId="11" xfId="57" applyFont="1" applyBorder="1" applyAlignment="1">
      <alignment horizontal="center" vertical="center" wrapText="1"/>
    </xf>
    <xf numFmtId="0" fontId="57" fillId="0" borderId="11" xfId="57" applyFont="1" applyBorder="1" applyAlignment="1">
      <alignment horizontal="center" vertical="center" wrapText="1"/>
    </xf>
    <xf numFmtId="0" fontId="63" fillId="0" borderId="0" xfId="57" applyFont="1" applyAlignment="1">
      <alignment horizontal="center" vertical="center"/>
    </xf>
    <xf numFmtId="0" fontId="64" fillId="0" borderId="0" xfId="57" applyFont="1"/>
    <xf numFmtId="0" fontId="63" fillId="0" borderId="10" xfId="57" applyFont="1" applyBorder="1" applyAlignment="1">
      <alignment horizontal="center" vertical="center"/>
    </xf>
    <xf numFmtId="0" fontId="61" fillId="0" borderId="10" xfId="57" applyFont="1" applyBorder="1" applyAlignment="1">
      <alignment horizontal="center" vertical="center"/>
    </xf>
    <xf numFmtId="0" fontId="61" fillId="0" borderId="11" xfId="57" applyFont="1" applyBorder="1" applyAlignment="1">
      <alignment horizontal="center" vertical="center"/>
    </xf>
    <xf numFmtId="0" fontId="56" fillId="0" borderId="10" xfId="57" applyBorder="1"/>
    <xf numFmtId="0" fontId="39" fillId="0" borderId="10" xfId="43" applyFont="1" applyBorder="1" applyAlignment="1">
      <alignment horizontal="center" vertical="center" wrapText="1"/>
    </xf>
    <xf numFmtId="2" fontId="10" fillId="0" borderId="0" xfId="43" applyNumberFormat="1"/>
    <xf numFmtId="168" fontId="10" fillId="0" borderId="0" xfId="43" applyNumberFormat="1"/>
    <xf numFmtId="43" fontId="10" fillId="0" borderId="0" xfId="76" applyFont="1" applyFill="1"/>
    <xf numFmtId="14" fontId="6" fillId="0" borderId="10" xfId="53" applyNumberFormat="1" applyFont="1" applyBorder="1" applyAlignment="1">
      <alignment horizontal="center"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0" fontId="38" fillId="0" borderId="10" xfId="43" applyFont="1" applyBorder="1" applyAlignment="1">
      <alignment vertical="center" wrapText="1"/>
    </xf>
    <xf numFmtId="0" fontId="37" fillId="0" borderId="10" xfId="43" applyFont="1" applyBorder="1" applyAlignment="1">
      <alignment vertical="center" wrapText="1"/>
    </xf>
    <xf numFmtId="0" fontId="38" fillId="0" borderId="10" xfId="43" applyFont="1" applyBorder="1" applyAlignment="1">
      <alignment horizontal="left" vertical="center" wrapText="1"/>
    </xf>
    <xf numFmtId="0" fontId="38" fillId="0" borderId="10" xfId="43" applyFont="1" applyBorder="1" applyAlignment="1">
      <alignment horizontal="center" vertical="center" wrapText="1"/>
    </xf>
    <xf numFmtId="0" fontId="57" fillId="0" borderId="10" xfId="53" applyFont="1" applyBorder="1" applyAlignment="1">
      <alignment horizontal="center" vertical="center"/>
    </xf>
    <xf numFmtId="2" fontId="10" fillId="0" borderId="10" xfId="43" applyNumberFormat="1" applyBorder="1" applyAlignment="1">
      <alignment horizontal="center" vertical="center" wrapText="1"/>
    </xf>
    <xf numFmtId="1" fontId="10" fillId="0" borderId="10" xfId="43" applyNumberFormat="1" applyBorder="1" applyAlignment="1">
      <alignment horizontal="center" vertical="center" wrapText="1"/>
    </xf>
    <xf numFmtId="14" fontId="10" fillId="0" borderId="10" xfId="43" applyNumberFormat="1" applyBorder="1" applyAlignment="1">
      <alignment horizontal="center" vertical="center" wrapText="1"/>
    </xf>
    <xf numFmtId="0" fontId="38" fillId="0" borderId="10" xfId="43" applyFont="1" applyBorder="1" applyAlignment="1">
      <alignment horizontal="justify" vertical="center" wrapText="1"/>
    </xf>
    <xf numFmtId="0" fontId="10" fillId="0" borderId="0" xfId="43" applyAlignment="1">
      <alignment vertical="center"/>
    </xf>
    <xf numFmtId="0" fontId="37" fillId="0" borderId="10" xfId="43" applyFont="1" applyBorder="1" applyAlignment="1">
      <alignment horizontal="justify" vertical="center" wrapText="1"/>
    </xf>
    <xf numFmtId="2" fontId="37" fillId="0" borderId="10" xfId="43" applyNumberFormat="1" applyFont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Border="1" applyAlignment="1">
      <alignment horizontal="justify" vertical="center" wrapText="1"/>
    </xf>
    <xf numFmtId="2" fontId="58" fillId="0" borderId="10" xfId="57" applyNumberFormat="1" applyFont="1" applyBorder="1" applyAlignment="1">
      <alignment horizontal="left" vertical="center"/>
    </xf>
    <xf numFmtId="0" fontId="36" fillId="0" borderId="0" xfId="57" applyFont="1" applyAlignment="1">
      <alignment vertical="center"/>
    </xf>
    <xf numFmtId="0" fontId="36" fillId="0" borderId="22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3" xfId="43" applyFont="1" applyBorder="1" applyAlignment="1">
      <alignment horizontal="center" vertical="center" wrapText="1"/>
    </xf>
    <xf numFmtId="2" fontId="58" fillId="0" borderId="11" xfId="57" applyNumberFormat="1" applyFont="1" applyBorder="1" applyAlignment="1">
      <alignment horizontal="center" vertical="center" wrapText="1"/>
    </xf>
    <xf numFmtId="4" fontId="10" fillId="0" borderId="28" xfId="43" applyNumberFormat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Border="1" applyAlignment="1">
      <alignment horizontal="center" vertical="center" wrapText="1"/>
    </xf>
    <xf numFmtId="3" fontId="10" fillId="0" borderId="30" xfId="43" applyNumberForma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/>
    </xf>
    <xf numFmtId="49" fontId="37" fillId="24" borderId="10" xfId="53" applyNumberFormat="1" applyFont="1" applyFill="1" applyBorder="1" applyAlignment="1">
      <alignment horizontal="center" vertical="center" wrapText="1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/>
    </xf>
    <xf numFmtId="1" fontId="37" fillId="0" borderId="10" xfId="53" applyNumberFormat="1" applyFont="1" applyBorder="1" applyAlignment="1">
      <alignment horizontal="center" vertical="center" wrapText="1"/>
    </xf>
    <xf numFmtId="4" fontId="34" fillId="0" borderId="10" xfId="53" applyNumberFormat="1" applyFont="1" applyBorder="1" applyAlignment="1">
      <alignment horizontal="center" vertical="center"/>
    </xf>
    <xf numFmtId="0" fontId="34" fillId="0" borderId="10" xfId="53" applyFont="1" applyBorder="1"/>
    <xf numFmtId="0" fontId="37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vertical="center" wrapText="1"/>
    </xf>
    <xf numFmtId="14" fontId="34" fillId="0" borderId="10" xfId="53" applyNumberFormat="1" applyFont="1" applyBorder="1" applyAlignment="1">
      <alignment horizontal="center" vertical="center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3" xfId="43" applyBorder="1" applyAlignment="1">
      <alignment horizontal="left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0" fontId="34" fillId="24" borderId="10" xfId="53" applyFont="1" applyFill="1" applyBorder="1" applyAlignment="1">
      <alignment horizontal="center" vertical="center" wrapText="1"/>
    </xf>
    <xf numFmtId="2" fontId="34" fillId="0" borderId="10" xfId="53" applyNumberFormat="1" applyFont="1" applyBorder="1" applyAlignment="1">
      <alignment horizontal="center" vertical="center"/>
    </xf>
    <xf numFmtId="2" fontId="10" fillId="0" borderId="31" xfId="43" applyNumberFormat="1" applyBorder="1" applyAlignment="1">
      <alignment horizontal="center" vertical="center" wrapText="1"/>
    </xf>
    <xf numFmtId="0" fontId="37" fillId="0" borderId="31" xfId="43" applyFont="1" applyBorder="1" applyAlignment="1">
      <alignment horizontal="justify" vertical="center" wrapText="1"/>
    </xf>
    <xf numFmtId="0" fontId="37" fillId="0" borderId="10" xfId="43" applyFont="1" applyBorder="1" applyAlignment="1">
      <alignment horizontal="justify" vertical="center"/>
    </xf>
    <xf numFmtId="0" fontId="38" fillId="0" borderId="10" xfId="43" applyFont="1" applyBorder="1" applyAlignment="1">
      <alignment horizontal="justify" vertical="center"/>
    </xf>
    <xf numFmtId="2" fontId="37" fillId="0" borderId="10" xfId="43" applyNumberFormat="1" applyFont="1" applyBorder="1" applyAlignment="1">
      <alignment horizontal="justify" vertical="center"/>
    </xf>
    <xf numFmtId="9" fontId="37" fillId="0" borderId="10" xfId="65" applyFont="1" applyFill="1" applyBorder="1" applyAlignment="1">
      <alignment horizontal="justify" vertical="center"/>
    </xf>
    <xf numFmtId="167" fontId="37" fillId="0" borderId="10" xfId="43" applyNumberFormat="1" applyFont="1" applyBorder="1" applyAlignment="1">
      <alignment horizontal="justify" vertical="center"/>
    </xf>
    <xf numFmtId="9" fontId="37" fillId="0" borderId="10" xfId="43" quotePrefix="1" applyNumberFormat="1" applyFont="1" applyBorder="1" applyAlignment="1">
      <alignment horizontal="justify" vertical="center" wrapText="1"/>
    </xf>
    <xf numFmtId="0" fontId="37" fillId="0" borderId="10" xfId="43" quotePrefix="1" applyFont="1" applyBorder="1" applyAlignment="1">
      <alignment horizontal="justify" vertical="center" wrapText="1"/>
    </xf>
    <xf numFmtId="2" fontId="38" fillId="0" borderId="10" xfId="65" applyNumberFormat="1" applyFont="1" applyFill="1" applyBorder="1" applyAlignment="1">
      <alignment horizontal="justify" vertical="center"/>
    </xf>
    <xf numFmtId="2" fontId="37" fillId="0" borderId="10" xfId="65" applyNumberFormat="1" applyFont="1" applyFill="1" applyBorder="1" applyAlignment="1">
      <alignment horizontal="justify" vertical="center"/>
    </xf>
    <xf numFmtId="1" fontId="37" fillId="0" borderId="10" xfId="65" applyNumberFormat="1" applyFont="1" applyFill="1" applyBorder="1" applyAlignment="1">
      <alignment horizontal="justify" vertical="center"/>
    </xf>
    <xf numFmtId="9" fontId="37" fillId="0" borderId="10" xfId="43" applyNumberFormat="1" applyFont="1" applyBorder="1" applyAlignment="1">
      <alignment horizontal="justify" vertical="center" wrapText="1"/>
    </xf>
    <xf numFmtId="0" fontId="37" fillId="0" borderId="10" xfId="43" applyFont="1" applyBorder="1" applyAlignment="1">
      <alignment horizontal="left" vertical="center" wrapText="1"/>
    </xf>
    <xf numFmtId="0" fontId="37" fillId="0" borderId="10" xfId="43" applyFont="1" applyBorder="1" applyAlignment="1">
      <alignment horizontal="left" vertical="center"/>
    </xf>
    <xf numFmtId="0" fontId="37" fillId="0" borderId="10" xfId="43" applyFont="1" applyBorder="1" applyAlignment="1">
      <alignment vertical="center"/>
    </xf>
    <xf numFmtId="167" fontId="38" fillId="0" borderId="10" xfId="43" applyNumberFormat="1" applyFont="1" applyBorder="1" applyAlignment="1">
      <alignment horizontal="justify" vertical="center"/>
    </xf>
    <xf numFmtId="9" fontId="37" fillId="0" borderId="10" xfId="65" applyNumberFormat="1" applyFont="1" applyFill="1" applyBorder="1" applyAlignment="1">
      <alignment horizontal="justify" vertical="center"/>
    </xf>
    <xf numFmtId="0" fontId="38" fillId="25" borderId="10" xfId="43" applyFont="1" applyFill="1" applyBorder="1" applyAlignment="1">
      <alignment horizontal="justify" vertical="center" wrapText="1"/>
    </xf>
    <xf numFmtId="167" fontId="38" fillId="25" borderId="10" xfId="43" applyNumberFormat="1" applyFont="1" applyFill="1" applyBorder="1" applyAlignment="1">
      <alignment horizontal="justify" vertical="center" wrapText="1"/>
    </xf>
    <xf numFmtId="0" fontId="38" fillId="0" borderId="10" xfId="43" applyFont="1" applyBorder="1" applyAlignment="1">
      <alignment horizontal="center" vertical="center"/>
    </xf>
    <xf numFmtId="14" fontId="58" fillId="0" borderId="31" xfId="0" applyNumberFormat="1" applyFont="1" applyBorder="1" applyAlignment="1">
      <alignment horizontal="center" vertical="center" wrapText="1" readingOrder="1"/>
    </xf>
    <xf numFmtId="14" fontId="58" fillId="24" borderId="10" xfId="0" applyNumberFormat="1" applyFont="1" applyFill="1" applyBorder="1" applyAlignment="1">
      <alignment horizontal="center" vertical="center" wrapText="1" readingOrder="1"/>
    </xf>
    <xf numFmtId="0" fontId="39" fillId="0" borderId="37" xfId="43" applyFont="1" applyFill="1" applyBorder="1" applyAlignment="1">
      <alignment horizontal="center" vertical="center" wrapText="1"/>
    </xf>
    <xf numFmtId="0" fontId="10" fillId="0" borderId="37" xfId="43" applyFont="1" applyFill="1" applyBorder="1" applyAlignment="1">
      <alignment horizontal="center" vertical="center" wrapText="1"/>
    </xf>
    <xf numFmtId="0" fontId="39" fillId="0" borderId="31" xfId="43" applyFont="1" applyFill="1" applyBorder="1" applyAlignment="1">
      <alignment horizontal="center" vertical="center" textRotation="90" wrapText="1"/>
    </xf>
    <xf numFmtId="49" fontId="58" fillId="0" borderId="11" xfId="57" applyNumberFormat="1" applyFont="1" applyBorder="1" applyAlignment="1">
      <alignment horizontal="center" vertical="center"/>
    </xf>
    <xf numFmtId="49" fontId="58" fillId="0" borderId="18" xfId="57" applyNumberFormat="1" applyFont="1" applyBorder="1" applyAlignment="1">
      <alignment horizontal="center" vertical="center"/>
    </xf>
    <xf numFmtId="49" fontId="58" fillId="0" borderId="17" xfId="57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58" fillId="0" borderId="0" xfId="57" applyFont="1" applyAlignment="1">
      <alignment horizontal="center" vertical="center"/>
    </xf>
    <xf numFmtId="0" fontId="60" fillId="0" borderId="0" xfId="57" applyFont="1" applyAlignment="1">
      <alignment horizontal="center" vertical="center" wrapText="1"/>
    </xf>
    <xf numFmtId="0" fontId="60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6" fillId="0" borderId="0" xfId="57" applyFont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46" fillId="0" borderId="0" xfId="57" applyFont="1" applyFill="1" applyAlignment="1">
      <alignment horizontal="center" vertical="center"/>
    </xf>
    <xf numFmtId="0" fontId="3" fillId="0" borderId="0" xfId="57" applyFont="1" applyAlignment="1">
      <alignment horizontal="center" vertical="center"/>
    </xf>
    <xf numFmtId="0" fontId="36" fillId="0" borderId="10" xfId="57" applyFont="1" applyBorder="1" applyAlignment="1">
      <alignment horizontal="center" vertical="center" wrapText="1"/>
    </xf>
    <xf numFmtId="0" fontId="6" fillId="0" borderId="15" xfId="57" applyFont="1" applyBorder="1" applyAlignment="1">
      <alignment vertical="center"/>
    </xf>
    <xf numFmtId="0" fontId="36" fillId="0" borderId="14" xfId="57" applyFont="1" applyBorder="1" applyAlignment="1">
      <alignment horizontal="center" vertical="center" wrapText="1"/>
    </xf>
    <xf numFmtId="0" fontId="36" fillId="0" borderId="12" xfId="57" applyFont="1" applyBorder="1" applyAlignment="1">
      <alignment horizontal="center" vertical="center" wrapText="1"/>
    </xf>
    <xf numFmtId="0" fontId="4" fillId="0" borderId="10" xfId="57" applyFont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46" fillId="0" borderId="0" xfId="57" applyFont="1" applyAlignment="1">
      <alignment horizontal="center" vertical="center" wrapText="1"/>
    </xf>
    <xf numFmtId="0" fontId="39" fillId="0" borderId="11" xfId="41" applyFont="1" applyBorder="1" applyAlignment="1">
      <alignment horizontal="center" vertical="center" wrapText="1"/>
    </xf>
    <xf numFmtId="0" fontId="39" fillId="0" borderId="17" xfId="41" applyFont="1" applyBorder="1" applyAlignment="1">
      <alignment horizontal="center" vertical="center" wrapText="1"/>
    </xf>
    <xf numFmtId="0" fontId="39" fillId="0" borderId="18" xfId="41" applyFont="1" applyBorder="1" applyAlignment="1">
      <alignment horizontal="center" vertical="center" wrapText="1"/>
    </xf>
    <xf numFmtId="0" fontId="10" fillId="0" borderId="15" xfId="41" applyFont="1" applyBorder="1" applyAlignment="1">
      <alignment horizontal="left" vertical="center"/>
    </xf>
    <xf numFmtId="0" fontId="39" fillId="0" borderId="14" xfId="41" applyFont="1" applyBorder="1" applyAlignment="1">
      <alignment horizontal="center" vertical="center"/>
    </xf>
    <xf numFmtId="0" fontId="39" fillId="0" borderId="13" xfId="41" applyFont="1" applyBorder="1" applyAlignment="1">
      <alignment horizontal="center" vertical="center"/>
    </xf>
    <xf numFmtId="0" fontId="39" fillId="0" borderId="12" xfId="41" applyFont="1" applyBorder="1" applyAlignment="1">
      <alignment horizontal="center" vertical="center"/>
    </xf>
    <xf numFmtId="0" fontId="7" fillId="0" borderId="0" xfId="57" applyFont="1" applyAlignment="1">
      <alignment horizontal="center" vertical="center"/>
    </xf>
    <xf numFmtId="49" fontId="10" fillId="0" borderId="0" xfId="41" applyNumberFormat="1" applyFont="1" applyAlignment="1">
      <alignment horizontal="left" vertical="top"/>
    </xf>
    <xf numFmtId="0" fontId="39" fillId="0" borderId="19" xfId="41" applyFont="1" applyBorder="1" applyAlignment="1">
      <alignment horizontal="center" vertical="center" wrapText="1"/>
    </xf>
    <xf numFmtId="0" fontId="39" fillId="0" borderId="20" xfId="41" applyFont="1" applyBorder="1" applyAlignment="1">
      <alignment horizontal="center" vertical="center" wrapText="1"/>
    </xf>
    <xf numFmtId="0" fontId="39" fillId="0" borderId="21" xfId="41" applyFont="1" applyBorder="1" applyAlignment="1">
      <alignment horizontal="center" vertical="center" wrapText="1"/>
    </xf>
    <xf numFmtId="0" fontId="39" fillId="0" borderId="16" xfId="41" applyFont="1" applyBorder="1" applyAlignment="1">
      <alignment horizontal="center" vertical="center" wrapText="1"/>
    </xf>
    <xf numFmtId="0" fontId="39" fillId="0" borderId="14" xfId="41" applyFont="1" applyBorder="1" applyAlignment="1">
      <alignment horizontal="center" vertical="center" wrapText="1"/>
    </xf>
    <xf numFmtId="0" fontId="39" fillId="0" borderId="12" xfId="41" applyFont="1" applyBorder="1" applyAlignment="1">
      <alignment horizontal="center" vertical="center" wrapText="1"/>
    </xf>
    <xf numFmtId="0" fontId="39" fillId="0" borderId="13" xfId="41" applyFont="1" applyBorder="1" applyAlignment="1">
      <alignment horizontal="center" vertical="center" wrapText="1"/>
    </xf>
    <xf numFmtId="0" fontId="7" fillId="0" borderId="0" xfId="57" applyFont="1" applyAlignment="1">
      <alignment horizontal="center" vertical="center" wrapText="1"/>
    </xf>
    <xf numFmtId="0" fontId="36" fillId="0" borderId="0" xfId="57" applyFont="1" applyAlignment="1">
      <alignment horizontal="center" vertical="center"/>
    </xf>
    <xf numFmtId="0" fontId="34" fillId="0" borderId="0" xfId="54" applyFont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5" fillId="0" borderId="0" xfId="54" applyFont="1" applyAlignment="1">
      <alignment horizontal="center"/>
    </xf>
    <xf numFmtId="0" fontId="4" fillId="0" borderId="15" xfId="57" applyFont="1" applyBorder="1" applyAlignment="1">
      <alignment horizontal="center" vertical="center" wrapText="1"/>
    </xf>
    <xf numFmtId="0" fontId="36" fillId="0" borderId="11" xfId="57" applyFont="1" applyBorder="1" applyAlignment="1">
      <alignment horizontal="center" vertical="center" wrapText="1"/>
    </xf>
    <xf numFmtId="0" fontId="36" fillId="0" borderId="18" xfId="57" applyFont="1" applyBorder="1" applyAlignment="1">
      <alignment horizontal="center" vertical="center" wrapText="1"/>
    </xf>
    <xf numFmtId="0" fontId="36" fillId="0" borderId="17" xfId="57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3" xfId="43" applyFont="1" applyBorder="1" applyAlignment="1">
      <alignment horizontal="center" vertical="center" wrapText="1"/>
    </xf>
    <xf numFmtId="0" fontId="36" fillId="0" borderId="24" xfId="43" applyFont="1" applyBorder="1" applyAlignment="1">
      <alignment horizontal="center" vertical="center" wrapText="1"/>
    </xf>
    <xf numFmtId="0" fontId="36" fillId="0" borderId="25" xfId="43" applyFont="1" applyBorder="1" applyAlignment="1">
      <alignment horizontal="center" vertical="center" wrapText="1"/>
    </xf>
    <xf numFmtId="0" fontId="36" fillId="0" borderId="26" xfId="43" applyFont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3" xfId="43" applyFont="1" applyBorder="1" applyAlignment="1">
      <alignment horizontal="center" vertical="center" wrapText="1"/>
    </xf>
    <xf numFmtId="0" fontId="39" fillId="0" borderId="12" xfId="43" applyFont="1" applyBorder="1" applyAlignment="1">
      <alignment horizontal="center" vertical="center" wrapText="1"/>
    </xf>
    <xf numFmtId="0" fontId="39" fillId="0" borderId="11" xfId="43" applyFont="1" applyBorder="1" applyAlignment="1">
      <alignment horizontal="center" vertical="center"/>
    </xf>
    <xf numFmtId="0" fontId="39" fillId="0" borderId="18" xfId="43" applyFont="1" applyBorder="1" applyAlignment="1">
      <alignment horizontal="center" vertical="center"/>
    </xf>
    <xf numFmtId="0" fontId="39" fillId="0" borderId="17" xfId="43" applyFont="1" applyBorder="1" applyAlignment="1">
      <alignment horizontal="center" vertical="center"/>
    </xf>
    <xf numFmtId="0" fontId="39" fillId="0" borderId="11" xfId="43" applyFont="1" applyBorder="1" applyAlignment="1">
      <alignment horizontal="center" vertical="center" wrapText="1"/>
    </xf>
    <xf numFmtId="0" fontId="39" fillId="0" borderId="17" xfId="43" applyFont="1" applyBorder="1" applyAlignment="1">
      <alignment horizontal="center" vertical="center" wrapText="1"/>
    </xf>
    <xf numFmtId="0" fontId="39" fillId="0" borderId="0" xfId="43" applyFont="1" applyAlignment="1">
      <alignment horizontal="center" vertical="top" wrapText="1"/>
    </xf>
    <xf numFmtId="0" fontId="39" fillId="0" borderId="14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10" fillId="0" borderId="0" xfId="43" applyAlignment="1">
      <alignment horizontal="center"/>
    </xf>
    <xf numFmtId="0" fontId="39" fillId="0" borderId="34" xfId="61" applyFont="1" applyFill="1" applyBorder="1" applyAlignment="1">
      <alignment horizontal="center" vertical="center"/>
    </xf>
    <xf numFmtId="0" fontId="39" fillId="0" borderId="35" xfId="61" applyFont="1" applyFill="1" applyBorder="1" applyAlignment="1">
      <alignment horizontal="center" vertical="center"/>
    </xf>
    <xf numFmtId="0" fontId="39" fillId="0" borderId="36" xfId="61" applyFont="1" applyFill="1" applyBorder="1" applyAlignment="1">
      <alignment horizontal="center" vertical="center"/>
    </xf>
    <xf numFmtId="0" fontId="39" fillId="0" borderId="34" xfId="43" applyFont="1" applyFill="1" applyBorder="1" applyAlignment="1">
      <alignment horizontal="center" vertical="center" wrapText="1"/>
    </xf>
    <xf numFmtId="0" fontId="39" fillId="0" borderId="36" xfId="43" applyFont="1" applyFill="1" applyBorder="1" applyAlignment="1">
      <alignment horizontal="center" vertical="center" wrapText="1"/>
    </xf>
    <xf numFmtId="0" fontId="39" fillId="0" borderId="31" xfId="43" applyFont="1" applyFill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0" fontId="39" fillId="0" borderId="32" xfId="43" applyFont="1" applyFill="1" applyBorder="1" applyAlignment="1">
      <alignment horizontal="center" vertical="center"/>
    </xf>
    <xf numFmtId="0" fontId="39" fillId="0" borderId="33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Alignment="1">
      <alignment horizontal="center"/>
    </xf>
    <xf numFmtId="0" fontId="39" fillId="0" borderId="32" xfId="43" applyFont="1" applyFill="1" applyBorder="1" applyAlignment="1">
      <alignment horizontal="center" vertical="center" wrapText="1"/>
    </xf>
    <xf numFmtId="0" fontId="39" fillId="0" borderId="33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35" fillId="0" borderId="14" xfId="49" applyFont="1" applyBorder="1" applyAlignment="1">
      <alignment horizontal="center" vertical="center" textRotation="90" wrapText="1"/>
    </xf>
    <xf numFmtId="0" fontId="35" fillId="0" borderId="12" xfId="49" applyFont="1" applyBorder="1" applyAlignment="1">
      <alignment horizontal="center" vertical="center" textRotation="90" wrapText="1"/>
    </xf>
    <xf numFmtId="0" fontId="35" fillId="0" borderId="14" xfId="53" applyFont="1" applyBorder="1" applyAlignment="1">
      <alignment horizontal="center" vertical="center" wrapText="1"/>
    </xf>
    <xf numFmtId="0" fontId="35" fillId="0" borderId="12" xfId="53" applyFont="1" applyBorder="1" applyAlignment="1">
      <alignment horizontal="center" vertical="center" wrapText="1"/>
    </xf>
    <xf numFmtId="0" fontId="35" fillId="0" borderId="10" xfId="53" applyFont="1" applyBorder="1" applyAlignment="1">
      <alignment horizontal="center" vertical="center" wrapText="1"/>
    </xf>
    <xf numFmtId="0" fontId="57" fillId="0" borderId="10" xfId="53" applyFont="1" applyBorder="1" applyAlignment="1">
      <alignment horizontal="center" vertical="center" wrapText="1"/>
    </xf>
    <xf numFmtId="0" fontId="57" fillId="0" borderId="14" xfId="53" applyFont="1" applyBorder="1" applyAlignment="1">
      <alignment horizontal="center" vertical="center" wrapText="1"/>
    </xf>
    <xf numFmtId="0" fontId="57" fillId="0" borderId="12" xfId="53" applyFont="1" applyBorder="1" applyAlignment="1">
      <alignment horizontal="center" vertical="center" wrapText="1"/>
    </xf>
    <xf numFmtId="0" fontId="35" fillId="0" borderId="13" xfId="53" applyFont="1" applyBorder="1" applyAlignment="1">
      <alignment horizontal="center" vertical="center" wrapText="1"/>
    </xf>
    <xf numFmtId="0" fontId="38" fillId="0" borderId="14" xfId="43" applyFont="1" applyBorder="1" applyAlignment="1">
      <alignment horizontal="center" vertical="center" textRotation="90" wrapText="1"/>
    </xf>
    <xf numFmtId="0" fontId="38" fillId="0" borderId="12" xfId="43" applyFont="1" applyBorder="1" applyAlignment="1">
      <alignment horizontal="center" vertical="center" textRotation="90" wrapText="1"/>
    </xf>
    <xf numFmtId="0" fontId="38" fillId="0" borderId="10" xfId="53" applyFont="1" applyBorder="1" applyAlignment="1">
      <alignment horizontal="center" vertical="center" textRotation="90" wrapText="1"/>
    </xf>
    <xf numFmtId="0" fontId="38" fillId="0" borderId="14" xfId="53" applyFont="1" applyBorder="1" applyAlignment="1">
      <alignment horizontal="center" vertical="center" wrapText="1"/>
    </xf>
    <xf numFmtId="0" fontId="38" fillId="0" borderId="12" xfId="53" applyFont="1" applyBorder="1" applyAlignment="1">
      <alignment horizontal="center" vertical="center" wrapText="1"/>
    </xf>
    <xf numFmtId="1" fontId="6" fillId="0" borderId="11" xfId="53" applyNumberFormat="1" applyFont="1" applyBorder="1" applyAlignment="1">
      <alignment horizontal="center" vertical="center" wrapText="1"/>
    </xf>
    <xf numFmtId="1" fontId="6" fillId="0" borderId="18" xfId="53" applyNumberFormat="1" applyFont="1" applyBorder="1" applyAlignment="1">
      <alignment horizontal="center" vertical="center" wrapText="1"/>
    </xf>
    <xf numFmtId="1" fontId="6" fillId="0" borderId="17" xfId="53" applyNumberFormat="1" applyFont="1" applyBorder="1" applyAlignment="1">
      <alignment horizontal="center" vertical="center" wrapText="1"/>
    </xf>
    <xf numFmtId="0" fontId="34" fillId="0" borderId="0" xfId="53" applyFont="1" applyAlignment="1">
      <alignment horizontal="center"/>
    </xf>
    <xf numFmtId="0" fontId="35" fillId="0" borderId="14" xfId="53" applyFont="1" applyBorder="1" applyAlignment="1">
      <alignment horizontal="center" vertical="center" textRotation="90" wrapText="1"/>
    </xf>
    <xf numFmtId="0" fontId="35" fillId="0" borderId="12" xfId="53" applyFont="1" applyBorder="1" applyAlignment="1">
      <alignment horizontal="center" vertical="center" textRotation="90" wrapText="1"/>
    </xf>
    <xf numFmtId="0" fontId="35" fillId="0" borderId="15" xfId="53" applyFont="1" applyBorder="1" applyAlignment="1">
      <alignment horizontal="center"/>
    </xf>
    <xf numFmtId="0" fontId="35" fillId="0" borderId="19" xfId="53" applyFont="1" applyBorder="1" applyAlignment="1">
      <alignment horizontal="center" vertical="center" wrapText="1"/>
    </xf>
    <xf numFmtId="0" fontId="35" fillId="0" borderId="27" xfId="53" applyFont="1" applyBorder="1" applyAlignment="1">
      <alignment horizontal="center" vertical="center" wrapText="1"/>
    </xf>
    <xf numFmtId="0" fontId="35" fillId="0" borderId="21" xfId="53" applyFont="1" applyBorder="1" applyAlignment="1">
      <alignment horizontal="center" vertical="center" wrapText="1"/>
    </xf>
    <xf numFmtId="0" fontId="35" fillId="0" borderId="11" xfId="53" applyFont="1" applyBorder="1" applyAlignment="1">
      <alignment horizontal="center" vertical="center" wrapText="1"/>
    </xf>
    <xf numFmtId="0" fontId="35" fillId="0" borderId="18" xfId="53" applyFont="1" applyBorder="1" applyAlignment="1">
      <alignment horizontal="center" vertical="center" wrapText="1"/>
    </xf>
    <xf numFmtId="0" fontId="35" fillId="0" borderId="17" xfId="53" applyFont="1" applyBorder="1" applyAlignment="1">
      <alignment horizontal="center" vertical="center" wrapText="1"/>
    </xf>
    <xf numFmtId="0" fontId="35" fillId="0" borderId="10" xfId="53" applyFont="1" applyBorder="1" applyAlignment="1">
      <alignment horizontal="center" vertical="center" textRotation="90" wrapText="1"/>
    </xf>
    <xf numFmtId="0" fontId="37" fillId="0" borderId="10" xfId="43" applyFont="1" applyBorder="1" applyAlignment="1">
      <alignment horizontal="left" vertical="center" wrapText="1"/>
    </xf>
    <xf numFmtId="0" fontId="38" fillId="0" borderId="0" xfId="43" applyFont="1" applyAlignment="1">
      <alignment horizontal="center"/>
    </xf>
    <xf numFmtId="0" fontId="35" fillId="0" borderId="0" xfId="57" applyFont="1" applyAlignment="1">
      <alignment horizontal="center" vertical="center"/>
    </xf>
    <xf numFmtId="0" fontId="8" fillId="0" borderId="0" xfId="57" applyFont="1" applyAlignment="1">
      <alignment horizontal="center" vertical="center"/>
    </xf>
    <xf numFmtId="0" fontId="38" fillId="0" borderId="0" xfId="43" applyFont="1" applyAlignment="1">
      <alignment horizontal="center" wrapText="1"/>
    </xf>
    <xf numFmtId="0" fontId="8" fillId="0" borderId="0" xfId="57" applyFont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20181.383611540394</v>
          </cell>
          <cell r="H8">
            <v>13955.809906016513</v>
          </cell>
          <cell r="J8">
            <v>14882.922615637381</v>
          </cell>
          <cell r="K8">
            <v>10291.650181003381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11624.40145061518</v>
          </cell>
          <cell r="DG8">
            <v>12932.367710238241</v>
          </cell>
          <cell r="DH8">
            <v>9465.5177014682413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180.67170356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119.9707215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119.9707215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19882.114261216462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19882.114261216462</v>
          </cell>
          <cell r="H9">
            <v>13850.868145912513</v>
          </cell>
          <cell r="J9">
            <v>14673.137664017449</v>
          </cell>
          <cell r="K9">
            <v>10081.865229383449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11549.831118355178</v>
          </cell>
          <cell r="DG9">
            <v>12757.504302233299</v>
          </cell>
          <cell r="DH9">
            <v>9290.6542934632998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180.67170356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119.9707215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119.9707215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19882.114261216462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180.67170356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119.9707215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119.9707215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19882.114261216462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180.67170356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119.9707215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119.9707215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19882.114261216462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180.67170356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119.9707215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119.9707215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19882.114261216462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180.67170356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119.9707215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119.9707215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19882.114261216462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180.67170356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119.9707215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119.9707215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19882.114261216462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180.67170356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119.9707215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119.9707215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19882.114261216462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180.67170356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119.9707215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119.9707215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19882.114261216462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180.67170356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119.9707215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119.9707215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19882.114261216462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180.67170356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119.9707215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119.9707215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19882.114261216462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180.67170356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119.9707215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119.9707215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19882.114261216462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180.67170356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119.9707215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119.9707215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19882.114261216462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180.67170356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119.9707215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119.9707215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19882.114261216462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180.67170356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119.9707215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119.9707215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19882.114261216462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180.67170356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119.9707215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119.9707215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19882.114261216462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180.67170356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119.9707215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119.9707215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19882.114261216462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180.67170356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119.9707215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119.9707215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19882.114261216462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4833.3903527557159</v>
          </cell>
          <cell r="J47">
            <v>11354.778123378021</v>
          </cell>
          <cell r="K47">
            <v>6763.5056887440205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4001.2015207985132</v>
          </cell>
          <cell r="DG47">
            <v>9521.7054810233494</v>
          </cell>
          <cell r="DH47">
            <v>6054.8554722533499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180.67170356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119.9707215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119.9707215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19882.114261216462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2151.4465571245</v>
          </cell>
          <cell r="J48">
            <v>6962.3579333014959</v>
          </cell>
          <cell r="K48">
            <v>2371.0854986674958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1651.7497544100002</v>
          </cell>
          <cell r="DG48">
            <v>6128.2428880195794</v>
          </cell>
          <cell r="DH48">
            <v>2661.3928792495794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180.67170356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119.9707215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119.9707215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19882.114261216462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2151.4465571245</v>
          </cell>
          <cell r="J49">
            <v>6962.3579333014959</v>
          </cell>
          <cell r="K49">
            <v>2371.0854986674958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1651.7497544100002</v>
          </cell>
          <cell r="DG49">
            <v>6128.2428880195794</v>
          </cell>
          <cell r="DH49">
            <v>2661.3928792495794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180.67170356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119.9707215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119.9707215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19882.114261216462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407.16077498850007</v>
          </cell>
          <cell r="J52">
            <v>706.87800000000004</v>
          </cell>
          <cell r="K52">
            <v>706.87800000000004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452.00779442000004</v>
          </cell>
          <cell r="DG52">
            <v>589.06500000000005</v>
          </cell>
          <cell r="DH52">
            <v>589.06500000000005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180.67170356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119.9707215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119.9707215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19882.114261216462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180.67170356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119.9707215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119.9707215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19882.114261216462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180.67170356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119.9707215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119.9707215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19882.114261216462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3.7607967599999998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3.7607967599999998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3.7607967599999998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180.67170356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119.9707215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119.9707215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19882.114261216462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180.67170356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119.9707215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119.9707215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19882.114261216462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180.67170356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119.9707215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119.9707215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19882.114261216462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180.67170356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119.9707215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119.9707215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19882.114261216462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180.67170356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119.9707215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119.9707215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19882.114261216462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180.67170356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119.9707215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119.9707215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19882.114261216462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180.67170356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119.9707215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119.9707215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19882.114261216462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180.67170356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119.9707215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119.9707215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19882.114261216462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180.67170356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119.9707215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119.9707215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19882.114261216462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180.67170356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119.9707215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119.9707215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19882.114261216462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694.32497048819221</v>
          </cell>
          <cell r="H81">
            <v>1663.3549244435001</v>
          </cell>
          <cell r="J81">
            <v>5004.1570687661924</v>
          </cell>
          <cell r="K81">
            <v>412.88463413219233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3813.4190565018271</v>
          </cell>
          <cell r="DH81">
            <v>346.56904773182697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180.67170356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119.9707215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119.9707215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19882.114261216462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0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180.67170356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119.9707215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119.9707215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19882.114261216462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180.67170356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119.9707215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119.9707215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19882.114261216462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180.67170356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119.9707215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119.9707215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19882.114261216462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180.67170356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119.9707215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119.9707215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19882.114261216462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180.67170356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119.9707215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119.9707215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19882.114261216462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180.67170356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119.9707215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119.9707215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19882.114261216462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180.67170356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119.9707215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119.9707215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19882.114261216462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180.67170356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119.9707215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119.9707215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19882.114261216462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180.67170356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119.9707215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119.9707215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19882.114261216462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180.67170356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119.9707215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119.9707215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19882.114261216462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180.67170356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119.9707215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119.9707215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19882.114261216462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180.67170356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119.9707215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119.9707215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19882.114261216462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180.67170356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119.9707215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119.9707215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19882.114261216462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180.67170356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119.9707215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119.9707215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19882.114261216462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180.67170356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119.9707215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119.9707215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19882.114261216462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180.67170356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119.9707215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119.9707215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19882.114261216462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180.67170356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119.9707215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119.9707215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19882.114261216462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180.67170356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119.9707215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119.9707215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19882.114261216462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180.67170356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119.9707215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119.9707215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19882.114261216462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180.67170356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119.9707215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119.9707215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19882.114261216462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180.67170356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119.9707215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119.9707215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19882.114261216462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180.67170356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119.9707215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119.9707215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19882.114261216462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180.67170356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119.9707215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119.9707215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19882.114261216462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180.67170356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119.9707215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119.9707215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19882.114261216462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180.67170356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119.9707215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119.9707215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19882.114261216462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180.67170356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119.9707215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119.9707215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19882.114261216462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180.67170356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119.9707215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119.9707215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19882.114261216462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180.67170356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119.9707215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119.9707215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19882.114261216462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180.67170356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119.9707215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119.9707215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19882.114261216462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180.67170356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119.9707215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119.9707215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19882.114261216462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180.67170356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119.9707215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119.9707215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19882.114261216462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180.67170356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119.9707215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119.9707215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19882.114261216462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180.67170356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119.9707215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119.9707215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19882.114261216462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180.67170356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119.9707215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119.9707215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19882.114261216462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180.67170356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119.9707215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119.9707215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19882.114261216462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180.67170356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119.9707215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119.9707215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19882.114261216462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180.67170356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119.9707215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119.9707215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19882.114261216462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180.67170356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119.9707215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119.9707215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19882.114261216462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180.67170356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119.9707215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119.9707215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19882.114261216462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180.67170356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119.9707215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119.9707215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19882.114261216462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180.67170356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119.9707215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119.9707215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19882.114261216462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180.67170356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119.9707215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119.9707215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19882.114261216462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180.67170356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119.9707215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119.9707215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19882.114261216462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180.67170356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119.9707215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119.9707215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19882.114261216462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180.67170356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119.9707215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119.9707215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19882.114261216462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180.67170356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119.9707215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119.9707215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19882.114261216462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180.67170356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119.9707215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119.9707215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19882.114261216462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180.67170356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119.9707215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119.9707215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19882.114261216462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180.67170356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119.9707215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119.9707215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19882.114261216462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180.67170356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119.9707215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119.9707215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19882.114261216462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180.67170356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119.9707215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119.9707215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19882.114261216462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180.67170356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119.9707215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119.9707215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19882.114261216462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180.67170356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119.9707215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119.9707215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19882.114261216462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180.67170356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119.9707215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119.9707215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19882.114261216462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180.67170356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119.9707215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119.9707215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19882.114261216462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180.67170356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119.9707215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119.9707215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19882.114261216462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180.67170356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119.9707215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119.9707215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19882.114261216462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180.67170356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119.9707215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119.9707215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19882.114261216462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180.67170356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119.9707215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119.9707215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19882.114261216462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180.67170356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119.9707215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119.9707215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19882.114261216462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180.67170356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119.9707215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119.9707215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19882.114261216462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180.67170356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119.9707215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119.9707215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19882.114261216462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180.67170356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119.9707215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119.9707215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19882.114261216462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180.67170356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119.9707215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119.9707215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19882.114261216462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tabSelected="1" view="pageBreakPreview" zoomScale="70" zoomScaleNormal="100" zoomScaleSheetLayoutView="70" workbookViewId="0">
      <selection activeCell="A15" sqref="A15:C15"/>
    </sheetView>
  </sheetViews>
  <sheetFormatPr defaultColWidth="9.140625" defaultRowHeight="15" x14ac:dyDescent="0.25"/>
  <cols>
    <col min="1" max="1" width="6.140625" style="48" customWidth="1"/>
    <col min="2" max="2" width="53.5703125" style="48" customWidth="1"/>
    <col min="3" max="3" width="91.42578125" style="48" customWidth="1"/>
    <col min="4" max="4" width="12" style="48" customWidth="1"/>
    <col min="5" max="5" width="14.42578125" style="48" customWidth="1"/>
    <col min="6" max="6" width="36.5703125" style="48" customWidth="1"/>
    <col min="7" max="7" width="20" style="48" customWidth="1"/>
    <col min="8" max="8" width="25.5703125" style="48" customWidth="1"/>
    <col min="9" max="9" width="16.42578125" style="48" customWidth="1"/>
    <col min="10" max="16384" width="9.140625" style="48"/>
  </cols>
  <sheetData>
    <row r="1" spans="1:22" s="2" customFormat="1" ht="18.75" customHeight="1" x14ac:dyDescent="0.2">
      <c r="A1" s="19"/>
      <c r="C1" s="20" t="s">
        <v>57</v>
      </c>
    </row>
    <row r="2" spans="1:22" s="2" customFormat="1" ht="18.75" customHeight="1" x14ac:dyDescent="0.3">
      <c r="A2" s="19"/>
      <c r="C2" s="21" t="s">
        <v>6</v>
      </c>
    </row>
    <row r="3" spans="1:22" s="2" customFormat="1" ht="18.75" x14ac:dyDescent="0.3">
      <c r="A3" s="22"/>
      <c r="C3" s="21" t="s">
        <v>56</v>
      </c>
    </row>
    <row r="4" spans="1:22" s="2" customFormat="1" ht="18.75" x14ac:dyDescent="0.3">
      <c r="A4" s="22"/>
      <c r="H4" s="21"/>
    </row>
    <row r="5" spans="1:22" s="2" customFormat="1" ht="15.75" x14ac:dyDescent="0.25">
      <c r="A5" s="186" t="str">
        <f>'[1]6.2. отчет'!$B$2</f>
        <v>Год раскрытия информации: 2025 год</v>
      </c>
      <c r="B5" s="186"/>
      <c r="C5" s="186"/>
      <c r="D5" s="17"/>
      <c r="E5" s="17"/>
      <c r="F5" s="17"/>
      <c r="G5" s="17"/>
      <c r="H5" s="17"/>
      <c r="I5" s="17"/>
      <c r="J5" s="17"/>
    </row>
    <row r="6" spans="1:22" s="2" customFormat="1" ht="18.75" x14ac:dyDescent="0.3">
      <c r="A6" s="22"/>
      <c r="H6" s="21"/>
    </row>
    <row r="7" spans="1:22" s="2" customFormat="1" ht="18.75" x14ac:dyDescent="0.2">
      <c r="A7" s="190" t="s">
        <v>5</v>
      </c>
      <c r="B7" s="190"/>
      <c r="C7" s="19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s="2" customFormat="1" ht="18.75" x14ac:dyDescent="0.2">
      <c r="A8" s="56"/>
      <c r="B8" s="56"/>
      <c r="C8" s="56"/>
      <c r="D8" s="56"/>
      <c r="E8" s="56"/>
      <c r="F8" s="56"/>
      <c r="G8" s="56"/>
      <c r="H8" s="56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s="2" customFormat="1" ht="18.75" x14ac:dyDescent="0.2">
      <c r="A9" s="191" t="s">
        <v>287</v>
      </c>
      <c r="B9" s="191"/>
      <c r="C9" s="191"/>
      <c r="D9" s="60"/>
      <c r="E9" s="60"/>
      <c r="F9" s="60"/>
      <c r="G9" s="60"/>
      <c r="H9" s="6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s="2" customFormat="1" ht="18.75" x14ac:dyDescent="0.2">
      <c r="A10" s="192" t="s">
        <v>4</v>
      </c>
      <c r="B10" s="192"/>
      <c r="C10" s="192"/>
      <c r="D10" s="61"/>
      <c r="E10" s="61"/>
      <c r="F10" s="61"/>
      <c r="G10" s="61"/>
      <c r="H10" s="61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s="2" customFormat="1" ht="18.75" x14ac:dyDescent="0.2">
      <c r="A11" s="56"/>
      <c r="B11" s="56"/>
      <c r="C11" s="56"/>
      <c r="D11" s="56"/>
      <c r="E11" s="56"/>
      <c r="F11" s="56"/>
      <c r="G11" s="56"/>
      <c r="H11" s="56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2" customFormat="1" ht="18.75" x14ac:dyDescent="0.2">
      <c r="A12" s="191" t="s">
        <v>479</v>
      </c>
      <c r="B12" s="191"/>
      <c r="C12" s="191"/>
      <c r="D12" s="60"/>
      <c r="E12" s="60"/>
      <c r="F12" s="60"/>
      <c r="G12" s="60"/>
      <c r="H12" s="6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s="2" customFormat="1" ht="18.75" x14ac:dyDescent="0.2">
      <c r="A13" s="192" t="s">
        <v>3</v>
      </c>
      <c r="B13" s="192"/>
      <c r="C13" s="192"/>
      <c r="D13" s="61"/>
      <c r="E13" s="61"/>
      <c r="F13" s="61"/>
      <c r="G13" s="61"/>
      <c r="H13" s="61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s="2" customFormat="1" ht="15.75" customHeight="1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</row>
    <row r="15" spans="1:22" s="35" customFormat="1" ht="43.5" customHeight="1" x14ac:dyDescent="0.2">
      <c r="A15" s="193" t="str">
        <f>VLOOKUP(A12,'[1]6.2. отчет'!$A:$C,3,0)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194"/>
      <c r="C15" s="194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:22" s="35" customFormat="1" ht="15" customHeight="1" x14ac:dyDescent="0.2">
      <c r="A16" s="187" t="s">
        <v>2</v>
      </c>
      <c r="B16" s="187"/>
      <c r="C16" s="187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22" s="35" customFormat="1" ht="15" customHeight="1" x14ac:dyDescent="0.2">
      <c r="A17" s="62"/>
      <c r="B17" s="62"/>
      <c r="C17" s="62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</row>
    <row r="18" spans="1:22" s="35" customFormat="1" ht="15" customHeight="1" x14ac:dyDescent="0.2">
      <c r="A18" s="188" t="s">
        <v>279</v>
      </c>
      <c r="B18" s="189"/>
      <c r="C18" s="189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</row>
    <row r="19" spans="1:22" s="35" customFormat="1" ht="15" customHeight="1" x14ac:dyDescent="0.2">
      <c r="A19" s="64"/>
      <c r="B19" s="64"/>
      <c r="C19" s="64"/>
      <c r="D19" s="61"/>
      <c r="E19" s="61"/>
      <c r="F19" s="61"/>
      <c r="G19" s="61"/>
      <c r="H19" s="61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</row>
    <row r="20" spans="1:22" s="35" customFormat="1" ht="39.75" customHeight="1" x14ac:dyDescent="0.2">
      <c r="A20" s="65" t="s">
        <v>1</v>
      </c>
      <c r="B20" s="66" t="s">
        <v>55</v>
      </c>
      <c r="C20" s="67" t="s">
        <v>54</v>
      </c>
      <c r="D20" s="61"/>
      <c r="E20" s="61"/>
      <c r="F20" s="61"/>
      <c r="G20" s="61"/>
      <c r="H20" s="61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</row>
    <row r="21" spans="1:22" s="35" customFormat="1" ht="16.5" customHeight="1" x14ac:dyDescent="0.2">
      <c r="A21" s="67">
        <v>1</v>
      </c>
      <c r="B21" s="66">
        <v>2</v>
      </c>
      <c r="C21" s="67">
        <v>3</v>
      </c>
      <c r="D21" s="61"/>
      <c r="E21" s="61"/>
      <c r="F21" s="61"/>
      <c r="G21" s="61"/>
      <c r="H21" s="61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</row>
    <row r="22" spans="1:22" s="35" customFormat="1" ht="39" customHeight="1" x14ac:dyDescent="0.2">
      <c r="A22" s="51" t="s">
        <v>53</v>
      </c>
      <c r="B22" s="68" t="s">
        <v>171</v>
      </c>
      <c r="C22" s="53" t="s">
        <v>468</v>
      </c>
      <c r="D22" s="61"/>
      <c r="E22" s="61"/>
      <c r="F22" s="61"/>
      <c r="G22" s="61"/>
      <c r="H22" s="61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</row>
    <row r="23" spans="1:22" s="35" customFormat="1" ht="80.25" customHeight="1" x14ac:dyDescent="0.2">
      <c r="A23" s="51" t="s">
        <v>52</v>
      </c>
      <c r="B23" s="52" t="s">
        <v>446</v>
      </c>
      <c r="C23" s="53" t="s">
        <v>469</v>
      </c>
      <c r="D23" s="61"/>
      <c r="E23" s="61"/>
      <c r="F23" s="61"/>
      <c r="G23" s="61"/>
      <c r="H23" s="61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22" s="35" customFormat="1" ht="22.5" customHeight="1" x14ac:dyDescent="0.2">
      <c r="A24" s="183"/>
      <c r="B24" s="184"/>
      <c r="C24" s="185"/>
      <c r="D24" s="61"/>
      <c r="E24" s="61"/>
      <c r="F24" s="61"/>
      <c r="G24" s="61"/>
      <c r="H24" s="61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22" s="35" customFormat="1" ht="58.5" customHeight="1" x14ac:dyDescent="0.2">
      <c r="A25" s="51" t="s">
        <v>51</v>
      </c>
      <c r="B25" s="53" t="s">
        <v>252</v>
      </c>
      <c r="C25" s="65" t="s">
        <v>470</v>
      </c>
      <c r="D25" s="61"/>
      <c r="E25" s="61"/>
      <c r="F25" s="61"/>
      <c r="G25" s="61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</row>
    <row r="26" spans="1:22" s="35" customFormat="1" ht="42.75" customHeight="1" x14ac:dyDescent="0.2">
      <c r="A26" s="51" t="s">
        <v>50</v>
      </c>
      <c r="B26" s="53" t="s">
        <v>63</v>
      </c>
      <c r="C26" s="65" t="s">
        <v>471</v>
      </c>
      <c r="D26" s="61"/>
      <c r="E26" s="61"/>
      <c r="F26" s="61"/>
      <c r="G26" s="61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</row>
    <row r="27" spans="1:22" s="35" customFormat="1" ht="51.75" customHeight="1" x14ac:dyDescent="0.2">
      <c r="A27" s="51" t="s">
        <v>48</v>
      </c>
      <c r="B27" s="53" t="s">
        <v>62</v>
      </c>
      <c r="C27" s="53" t="s">
        <v>480</v>
      </c>
      <c r="D27" s="61"/>
      <c r="E27" s="61"/>
      <c r="F27" s="61"/>
      <c r="G27" s="61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</row>
    <row r="28" spans="1:22" s="35" customFormat="1" ht="42.75" customHeight="1" x14ac:dyDescent="0.2">
      <c r="A28" s="51" t="s">
        <v>47</v>
      </c>
      <c r="B28" s="53" t="s">
        <v>253</v>
      </c>
      <c r="C28" s="53" t="s">
        <v>288</v>
      </c>
      <c r="D28" s="61"/>
      <c r="E28" s="61"/>
      <c r="F28" s="61"/>
      <c r="G28" s="61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</row>
    <row r="29" spans="1:22" s="35" customFormat="1" ht="51.75" customHeight="1" x14ac:dyDescent="0.2">
      <c r="A29" s="51" t="s">
        <v>45</v>
      </c>
      <c r="B29" s="53" t="s">
        <v>254</v>
      </c>
      <c r="C29" s="53" t="s">
        <v>288</v>
      </c>
      <c r="D29" s="61"/>
      <c r="E29" s="61"/>
      <c r="F29" s="61"/>
      <c r="G29" s="61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</row>
    <row r="30" spans="1:22" s="35" customFormat="1" ht="51.75" customHeight="1" x14ac:dyDescent="0.2">
      <c r="A30" s="51" t="s">
        <v>43</v>
      </c>
      <c r="B30" s="53" t="s">
        <v>255</v>
      </c>
      <c r="C30" s="53" t="s">
        <v>288</v>
      </c>
      <c r="D30" s="61"/>
      <c r="E30" s="61"/>
      <c r="F30" s="61"/>
      <c r="G30" s="61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</row>
    <row r="31" spans="1:22" s="35" customFormat="1" ht="51.75" customHeight="1" x14ac:dyDescent="0.2">
      <c r="A31" s="51" t="s">
        <v>61</v>
      </c>
      <c r="B31" s="53" t="s">
        <v>256</v>
      </c>
      <c r="C31" s="53" t="s">
        <v>288</v>
      </c>
      <c r="D31" s="61"/>
      <c r="E31" s="61"/>
      <c r="F31" s="61"/>
      <c r="G31" s="61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</row>
    <row r="32" spans="1:22" s="35" customFormat="1" ht="51.75" customHeight="1" x14ac:dyDescent="0.2">
      <c r="A32" s="51" t="s">
        <v>59</v>
      </c>
      <c r="B32" s="53" t="s">
        <v>257</v>
      </c>
      <c r="C32" s="53" t="s">
        <v>288</v>
      </c>
      <c r="D32" s="61"/>
      <c r="E32" s="61"/>
      <c r="F32" s="61"/>
      <c r="G32" s="61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</row>
    <row r="33" spans="1:18" s="35" customFormat="1" ht="101.25" customHeight="1" x14ac:dyDescent="0.2">
      <c r="A33" s="51" t="s">
        <v>58</v>
      </c>
      <c r="B33" s="53" t="s">
        <v>258</v>
      </c>
      <c r="C33" s="53" t="s">
        <v>472</v>
      </c>
      <c r="D33" s="61"/>
      <c r="E33" s="61"/>
      <c r="F33" s="61"/>
      <c r="G33" s="61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</row>
    <row r="34" spans="1:18" ht="111" customHeight="1" x14ac:dyDescent="0.25">
      <c r="A34" s="51" t="s">
        <v>267</v>
      </c>
      <c r="B34" s="53" t="s">
        <v>259</v>
      </c>
      <c r="C34" s="53" t="s">
        <v>448</v>
      </c>
    </row>
    <row r="35" spans="1:18" ht="58.5" customHeight="1" x14ac:dyDescent="0.25">
      <c r="A35" s="51" t="s">
        <v>262</v>
      </c>
      <c r="B35" s="53" t="s">
        <v>60</v>
      </c>
      <c r="C35" s="53" t="s">
        <v>288</v>
      </c>
    </row>
    <row r="36" spans="1:18" ht="51.75" customHeight="1" x14ac:dyDescent="0.25">
      <c r="A36" s="51" t="s">
        <v>268</v>
      </c>
      <c r="B36" s="53" t="s">
        <v>260</v>
      </c>
      <c r="C36" s="53" t="s">
        <v>448</v>
      </c>
    </row>
    <row r="37" spans="1:18" ht="43.5" customHeight="1" x14ac:dyDescent="0.25">
      <c r="A37" s="51" t="s">
        <v>263</v>
      </c>
      <c r="B37" s="53" t="s">
        <v>261</v>
      </c>
      <c r="C37" s="53" t="s">
        <v>448</v>
      </c>
    </row>
    <row r="38" spans="1:18" ht="43.5" customHeight="1" x14ac:dyDescent="0.25">
      <c r="A38" s="51" t="s">
        <v>269</v>
      </c>
      <c r="B38" s="53" t="s">
        <v>167</v>
      </c>
      <c r="C38" s="53" t="s">
        <v>288</v>
      </c>
    </row>
    <row r="39" spans="1:18" ht="23.25" customHeight="1" x14ac:dyDescent="0.25">
      <c r="A39" s="183"/>
      <c r="B39" s="184"/>
      <c r="C39" s="185"/>
    </row>
    <row r="40" spans="1:18" ht="115.5" customHeight="1" x14ac:dyDescent="0.25">
      <c r="A40" s="51" t="s">
        <v>264</v>
      </c>
      <c r="B40" s="53" t="s">
        <v>445</v>
      </c>
      <c r="C40" s="65" t="s">
        <v>481</v>
      </c>
    </row>
    <row r="41" spans="1:18" ht="94.5" x14ac:dyDescent="0.25">
      <c r="A41" s="26" t="s">
        <v>270</v>
      </c>
      <c r="B41" s="16" t="s">
        <v>302</v>
      </c>
      <c r="C41" s="65" t="s">
        <v>288</v>
      </c>
    </row>
    <row r="42" spans="1:18" ht="63" x14ac:dyDescent="0.25">
      <c r="A42" s="26" t="s">
        <v>265</v>
      </c>
      <c r="B42" s="16" t="s">
        <v>303</v>
      </c>
      <c r="C42" s="65" t="s">
        <v>473</v>
      </c>
    </row>
    <row r="43" spans="1:18" ht="179.25" customHeight="1" x14ac:dyDescent="0.25">
      <c r="A43" s="26" t="s">
        <v>272</v>
      </c>
      <c r="B43" s="16" t="s">
        <v>304</v>
      </c>
      <c r="C43" s="65" t="s">
        <v>288</v>
      </c>
    </row>
    <row r="44" spans="1:18" ht="95.25" customHeight="1" x14ac:dyDescent="0.25">
      <c r="A44" s="26" t="s">
        <v>266</v>
      </c>
      <c r="B44" s="16" t="s">
        <v>305</v>
      </c>
      <c r="C44" s="65" t="s">
        <v>288</v>
      </c>
    </row>
    <row r="45" spans="1:18" ht="82.5" customHeight="1" x14ac:dyDescent="0.25">
      <c r="A45" s="26" t="s">
        <v>306</v>
      </c>
      <c r="B45" s="16" t="s">
        <v>307</v>
      </c>
      <c r="C45" s="65" t="s">
        <v>288</v>
      </c>
    </row>
    <row r="46" spans="1:18" ht="95.25" customHeight="1" x14ac:dyDescent="0.25">
      <c r="A46" s="26" t="s">
        <v>308</v>
      </c>
      <c r="B46" s="16" t="s">
        <v>280</v>
      </c>
      <c r="C46" s="65" t="s">
        <v>474</v>
      </c>
    </row>
    <row r="47" spans="1:18" ht="22.5" customHeight="1" x14ac:dyDescent="0.25">
      <c r="A47" s="26"/>
      <c r="B47" s="16"/>
      <c r="C47" s="27"/>
    </row>
    <row r="48" spans="1:18" ht="75.75" customHeight="1" x14ac:dyDescent="0.25">
      <c r="A48" s="26" t="s">
        <v>443</v>
      </c>
      <c r="B48" s="16" t="s">
        <v>284</v>
      </c>
      <c r="C48" s="128" t="str">
        <f>'6.2. Паспорт фин осв ввод'!C24</f>
        <v>нд</v>
      </c>
    </row>
    <row r="49" spans="1:3" ht="71.25" customHeight="1" x14ac:dyDescent="0.25">
      <c r="A49" s="26" t="s">
        <v>444</v>
      </c>
      <c r="B49" s="16" t="s">
        <v>285</v>
      </c>
      <c r="C49" s="128" t="str">
        <f>'6.2. Паспорт фин осв ввод'!C30</f>
        <v>нд</v>
      </c>
    </row>
    <row r="50" spans="1:3" x14ac:dyDescent="0.25">
      <c r="A50" s="69"/>
      <c r="B50" s="69"/>
      <c r="C50" s="69"/>
    </row>
    <row r="51" spans="1:3" x14ac:dyDescent="0.25">
      <c r="A51" s="69"/>
      <c r="B51" s="69"/>
      <c r="C51" s="69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3" zoomScale="60" zoomScaleNormal="60" zoomScaleSheetLayoutView="75" workbookViewId="0">
      <selection activeCell="F57" sqref="F57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0" t="s">
        <v>57</v>
      </c>
    </row>
    <row r="2" spans="1:11" ht="18.75" x14ac:dyDescent="0.3">
      <c r="K2" s="21" t="s">
        <v>6</v>
      </c>
    </row>
    <row r="3" spans="1:11" ht="18.75" x14ac:dyDescent="0.3">
      <c r="K3" s="21" t="s">
        <v>56</v>
      </c>
    </row>
    <row r="4" spans="1:11" ht="18.75" customHeight="1" x14ac:dyDescent="0.25">
      <c r="A4" s="186" t="str">
        <f>'1. паспорт местоположение'!$A$5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6" spans="1:11" ht="18.75" x14ac:dyDescent="0.25">
      <c r="A6" s="190" t="s">
        <v>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18.75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A8" s="191" t="str">
        <f>'6.1. Паспорт сетевой график'!A9:L9</f>
        <v>АО "Чеченэнерго"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</row>
    <row r="9" spans="1:11" ht="18.75" customHeight="1" x14ac:dyDescent="0.25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</row>
    <row r="10" spans="1:11" x14ac:dyDescent="0.25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x14ac:dyDescent="0.25">
      <c r="A11" s="191" t="str">
        <f>'6.1. Паспорт сетевой график'!A12:L12</f>
        <v>P_Che491_25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</row>
    <row r="12" spans="1:11" x14ac:dyDescent="0.25">
      <c r="A12" s="192" t="s">
        <v>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91" t="str">
        <f>'6.1. Паспорт сетевой график'!A15:L15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11" ht="15.75" customHeight="1" x14ac:dyDescent="0.25">
      <c r="A15" s="192" t="s">
        <v>2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</row>
    <row r="16" spans="1:11" x14ac:dyDescent="0.25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</row>
    <row r="18" spans="1:11" x14ac:dyDescent="0.25">
      <c r="A18" s="261" t="s">
        <v>274</v>
      </c>
      <c r="B18" s="261"/>
      <c r="C18" s="261"/>
      <c r="D18" s="261"/>
      <c r="E18" s="261"/>
      <c r="F18" s="261"/>
      <c r="G18" s="261"/>
      <c r="H18" s="261"/>
      <c r="I18" s="261"/>
      <c r="J18" s="261"/>
      <c r="K18" s="261"/>
    </row>
    <row r="19" spans="1:11" x14ac:dyDescent="0.25">
      <c r="F19" s="49"/>
    </row>
    <row r="20" spans="1:11" ht="33" customHeight="1" x14ac:dyDescent="0.25">
      <c r="A20" s="256" t="s">
        <v>124</v>
      </c>
      <c r="B20" s="256" t="s">
        <v>123</v>
      </c>
      <c r="C20" s="262" t="s">
        <v>122</v>
      </c>
      <c r="D20" s="263"/>
      <c r="E20" s="257" t="s">
        <v>121</v>
      </c>
      <c r="F20" s="258"/>
      <c r="G20" s="255" t="s">
        <v>503</v>
      </c>
      <c r="H20" s="250" t="s">
        <v>504</v>
      </c>
      <c r="I20" s="251"/>
      <c r="J20" s="251"/>
      <c r="K20" s="252"/>
    </row>
    <row r="21" spans="1:11" ht="87" customHeight="1" x14ac:dyDescent="0.25">
      <c r="A21" s="256"/>
      <c r="B21" s="256"/>
      <c r="C21" s="264"/>
      <c r="D21" s="265"/>
      <c r="E21" s="259"/>
      <c r="F21" s="260"/>
      <c r="G21" s="255"/>
      <c r="H21" s="253" t="s">
        <v>0</v>
      </c>
      <c r="I21" s="254"/>
      <c r="J21" s="255" t="s">
        <v>505</v>
      </c>
      <c r="K21" s="255"/>
    </row>
    <row r="22" spans="1:11" ht="62.25" customHeight="1" x14ac:dyDescent="0.25">
      <c r="A22" s="256"/>
      <c r="B22" s="256"/>
      <c r="C22" s="180" t="s">
        <v>0</v>
      </c>
      <c r="D22" s="180" t="s">
        <v>505</v>
      </c>
      <c r="E22" s="181" t="s">
        <v>506</v>
      </c>
      <c r="F22" s="181" t="s">
        <v>507</v>
      </c>
      <c r="G22" s="255"/>
      <c r="H22" s="182" t="s">
        <v>508</v>
      </c>
      <c r="I22" s="182" t="s">
        <v>509</v>
      </c>
      <c r="J22" s="182" t="s">
        <v>508</v>
      </c>
      <c r="K22" s="182" t="s">
        <v>509</v>
      </c>
    </row>
    <row r="23" spans="1:11" ht="19.5" customHeight="1" x14ac:dyDescent="0.25">
      <c r="A23" s="108">
        <v>1</v>
      </c>
      <c r="B23" s="108">
        <v>2</v>
      </c>
      <c r="C23" s="108">
        <v>3</v>
      </c>
      <c r="D23" s="108">
        <v>4</v>
      </c>
      <c r="E23" s="108">
        <v>5</v>
      </c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</row>
    <row r="24" spans="1:11" s="30" customFormat="1" ht="47.25" customHeight="1" x14ac:dyDescent="0.25">
      <c r="A24" s="148">
        <v>1</v>
      </c>
      <c r="B24" s="149" t="s">
        <v>120</v>
      </c>
      <c r="C24" s="119" t="str">
        <f>VLOOKUP($A$11,'[1]6.2. отчет'!$D:$K,2,0)</f>
        <v>нд</v>
      </c>
      <c r="D24" s="119">
        <f>VLOOKUP($A$11,'[1]6.2. отчет'!$D:$K,5,0)</f>
        <v>0</v>
      </c>
      <c r="E24" s="119">
        <f>VLOOKUP($A$11,'[1]6.2. отчет'!$D:$K,7,0)</f>
        <v>5.5931590099999999</v>
      </c>
      <c r="F24" s="119">
        <f>VLOOKUP($A$11,'[1]6.2. отчет'!$D:$K,8,0)</f>
        <v>5.5931590099999999</v>
      </c>
      <c r="G24" s="119">
        <f>VLOOKUP($A$11,'[1]6.2. отчет'!$D:$BL,9,0)</f>
        <v>0</v>
      </c>
      <c r="H24" s="119" t="str">
        <f>VLOOKUP($A$11,'[1]6.2. отчет'!$D:$BL,15,0)</f>
        <v>нд</v>
      </c>
      <c r="I24" s="119" t="str">
        <f>VLOOKUP($A$11,'[1]6.2. отчет'!$D:$CU,45,0)</f>
        <v>нд</v>
      </c>
      <c r="J24" s="119">
        <f>VLOOKUP($A$11,'[1]6.2. отчет'!$D:$BL,56,0)</f>
        <v>0</v>
      </c>
      <c r="K24" s="119">
        <f>VLOOKUP($A$11,'[1]6.2. отчет'!$D:$CU,86,0)</f>
        <v>0</v>
      </c>
    </row>
    <row r="25" spans="1:11" s="30" customFormat="1" ht="21.75" customHeight="1" x14ac:dyDescent="0.25">
      <c r="A25" s="150" t="s">
        <v>119</v>
      </c>
      <c r="B25" s="33" t="s">
        <v>118</v>
      </c>
      <c r="C25" s="119" t="str">
        <f t="shared" ref="C25:C26" si="0">H25</f>
        <v>нд</v>
      </c>
      <c r="D25" s="119">
        <f>G25+J25</f>
        <v>0</v>
      </c>
      <c r="E25" s="119">
        <f t="shared" ref="E25:E28" si="1">F25+G25</f>
        <v>0</v>
      </c>
      <c r="F25" s="119">
        <f t="shared" ref="F25:F26" si="2">J25</f>
        <v>0</v>
      </c>
      <c r="G25" s="119">
        <f>VLOOKUP($A$11,'[1]6.2. отчет'!$D:$BL,10,0)</f>
        <v>0</v>
      </c>
      <c r="H25" s="119" t="str">
        <f>VLOOKUP($A$11,'[1]6.2. отчет'!$D:$BL,16,0)</f>
        <v>нд</v>
      </c>
      <c r="I25" s="119" t="str">
        <f>IF(H25=0,0,VLOOKUP($A$11,'[1]6.2. отчет'!$D:$CU,46,0))</f>
        <v>нд</v>
      </c>
      <c r="J25" s="119">
        <f>VLOOKUP($A$11,'[1]6.2. отчет'!$D:$BL,57,0)</f>
        <v>0</v>
      </c>
      <c r="K25" s="119">
        <f>IF(J25=0,0,VLOOKUP($A$11,'[1]6.2. отчет'!$D:$CU,87,0))</f>
        <v>0</v>
      </c>
    </row>
    <row r="26" spans="1:11" s="30" customFormat="1" ht="18.75" customHeight="1" x14ac:dyDescent="0.25">
      <c r="A26" s="150" t="s">
        <v>117</v>
      </c>
      <c r="B26" s="33" t="s">
        <v>116</v>
      </c>
      <c r="C26" s="119" t="str">
        <f t="shared" si="0"/>
        <v>нд</v>
      </c>
      <c r="D26" s="119">
        <f>G26+J26</f>
        <v>0</v>
      </c>
      <c r="E26" s="119">
        <f t="shared" si="1"/>
        <v>0</v>
      </c>
      <c r="F26" s="119">
        <f t="shared" si="2"/>
        <v>0</v>
      </c>
      <c r="G26" s="119">
        <f>VLOOKUP($A$11,'[1]6.2. отчет'!$D:$BL,11,0)</f>
        <v>0</v>
      </c>
      <c r="H26" s="119" t="str">
        <f>VLOOKUP($A$11,'[1]6.2. отчет'!$D:$BL,17,0)</f>
        <v>нд</v>
      </c>
      <c r="I26" s="119" t="str">
        <f>IF(H26=0,0,VLOOKUP($A$11,'[1]6.2. отчет'!$D:$CU,47,0))</f>
        <v>нд</v>
      </c>
      <c r="J26" s="119">
        <f>VLOOKUP($A$11,'[1]6.2. отчет'!$D:$BL,58,0)</f>
        <v>0</v>
      </c>
      <c r="K26" s="119">
        <f>IF(J26=0,0,VLOOKUP($A$11,'[1]6.2. отчет'!$D:$CU,88,0))</f>
        <v>0</v>
      </c>
    </row>
    <row r="27" spans="1:11" s="30" customFormat="1" ht="31.5" x14ac:dyDescent="0.25">
      <c r="A27" s="150" t="s">
        <v>115</v>
      </c>
      <c r="B27" s="33" t="s">
        <v>225</v>
      </c>
      <c r="C27" s="119" t="str">
        <f>IF(C24="нд","нд",C24-(C29+C28+C26+C25))</f>
        <v>нд</v>
      </c>
      <c r="D27" s="119">
        <f>G27+J27+D24-(G24+J24)</f>
        <v>0</v>
      </c>
      <c r="E27" s="119">
        <f>F27+G27</f>
        <v>5.5931590099999999</v>
      </c>
      <c r="F27" s="119">
        <f>F24-(F25+F26+F28+F29)</f>
        <v>5.5931590099999999</v>
      </c>
      <c r="G27" s="119">
        <f>VLOOKUP($A$11,'[1]6.2. отчет'!$D:$BL,12,0)</f>
        <v>0</v>
      </c>
      <c r="H27" s="119" t="str">
        <f>VLOOKUP($A$11,'[1]6.2. отчет'!$D:$BL,18,0)</f>
        <v>нд</v>
      </c>
      <c r="I27" s="119" t="str">
        <f>IF(H27=0,0,VLOOKUP($A$11,'[1]6.2. отчет'!$D:$CU,48,0))</f>
        <v>нд</v>
      </c>
      <c r="J27" s="119">
        <f>VLOOKUP($A$11,'[1]6.2. отчет'!$D:$BL,59,0)</f>
        <v>0</v>
      </c>
      <c r="K27" s="119">
        <f>IF(J27=0,0,VLOOKUP($A$11,'[1]6.2. отчет'!$D:$CU,89,0))</f>
        <v>0</v>
      </c>
    </row>
    <row r="28" spans="1:11" s="30" customFormat="1" ht="18.75" customHeight="1" x14ac:dyDescent="0.25">
      <c r="A28" s="150" t="s">
        <v>114</v>
      </c>
      <c r="B28" s="33" t="s">
        <v>113</v>
      </c>
      <c r="C28" s="119" t="str">
        <f>H28</f>
        <v>нд</v>
      </c>
      <c r="D28" s="119">
        <f t="shared" ref="D28:D29" si="3">G28+J28</f>
        <v>0</v>
      </c>
      <c r="E28" s="119">
        <f t="shared" si="1"/>
        <v>0</v>
      </c>
      <c r="F28" s="119">
        <v>0</v>
      </c>
      <c r="G28" s="119">
        <f>VLOOKUP($A$11,'[1]6.2. отчет'!$D:$BL,13,0)</f>
        <v>0</v>
      </c>
      <c r="H28" s="119" t="str">
        <f>VLOOKUP($A$11,'[1]6.2. отчет'!$D:$BL,19,0)</f>
        <v>нд</v>
      </c>
      <c r="I28" s="119" t="str">
        <f>IF(H28=0,0,VLOOKUP($A$11,'[1]6.2. отчет'!$D:$CU,49,0))</f>
        <v>нд</v>
      </c>
      <c r="J28" s="119">
        <f>VLOOKUP($A$11,'[1]6.2. отчет'!$D:$BL,60,0)</f>
        <v>0</v>
      </c>
      <c r="K28" s="119">
        <f>IF(J28=0,0,VLOOKUP($A$11,'[1]6.2. отчет'!$D:$CU,90,0))</f>
        <v>0</v>
      </c>
    </row>
    <row r="29" spans="1:11" s="30" customFormat="1" ht="18" customHeight="1" x14ac:dyDescent="0.25">
      <c r="A29" s="150" t="s">
        <v>112</v>
      </c>
      <c r="B29" s="151" t="s">
        <v>111</v>
      </c>
      <c r="C29" s="119" t="str">
        <f>H29</f>
        <v>нд</v>
      </c>
      <c r="D29" s="119">
        <f t="shared" si="3"/>
        <v>0</v>
      </c>
      <c r="E29" s="119">
        <f>F29+G29</f>
        <v>0</v>
      </c>
      <c r="F29" s="119">
        <v>0</v>
      </c>
      <c r="G29" s="119">
        <f>VLOOKUP($A$11,'[1]6.2. отчет'!$D:$BL,14,0)</f>
        <v>0</v>
      </c>
      <c r="H29" s="119" t="str">
        <f>VLOOKUP($A$11,'[1]6.2. отчет'!$D:$BL,20,0)</f>
        <v>нд</v>
      </c>
      <c r="I29" s="119" t="str">
        <f>IF(H29=0,0,VLOOKUP($A$11,'[1]6.2. отчет'!$D:$CU,50,0))</f>
        <v>нд</v>
      </c>
      <c r="J29" s="119">
        <f>VLOOKUP($A$11,'[1]6.2. отчет'!$D:$BL,61,0)</f>
        <v>0</v>
      </c>
      <c r="K29" s="119">
        <f>IF(J29=0,0,VLOOKUP($A$11,'[1]6.2. отчет'!$D:$CU,91,0))</f>
        <v>0</v>
      </c>
    </row>
    <row r="30" spans="1:11" s="30" customFormat="1" ht="47.25" x14ac:dyDescent="0.25">
      <c r="A30" s="148" t="s">
        <v>52</v>
      </c>
      <c r="B30" s="149" t="s">
        <v>110</v>
      </c>
      <c r="C30" s="119" t="str">
        <f>VLOOKUP($A$11,'[1]6.2. отчет'!$D:$DB,99,0)</f>
        <v>нд</v>
      </c>
      <c r="D30" s="119">
        <f>VLOOKUP($A$11,'[1]6.2. отчет'!$D:$FK,106,0)</f>
        <v>4.6609658400000002</v>
      </c>
      <c r="E30" s="119">
        <f>VLOOKUP($A$11,'[1]6.2. отчет'!$D:$FK,108,0)</f>
        <v>4.6609658400000002</v>
      </c>
      <c r="F30" s="119">
        <f>VLOOKUP($A$11,'[1]6.2. отчет'!$D:$FK,109,0)</f>
        <v>4.6609658400000002</v>
      </c>
      <c r="G30" s="119">
        <f>VLOOKUP($A$11,'[1]6.2. отчет'!$D:$FK,110,0)</f>
        <v>0</v>
      </c>
      <c r="H30" s="119" t="str">
        <f>VLOOKUP($A$11,'[1]6.2. отчет'!$D:$FK,115,0)</f>
        <v>нд</v>
      </c>
      <c r="I30" s="119" t="str">
        <f>VLOOKUP($A$11,'[1]6.2. отчет'!$D:$AGP,124,0)</f>
        <v>нд</v>
      </c>
      <c r="J30" s="119">
        <f>VLOOKUP($A$11,'[1]6.2. отчет'!$D:$FK,130,0)</f>
        <v>4.6609658400000002</v>
      </c>
      <c r="K30" s="119">
        <f>VLOOKUP($A$11,'[1]6.2. отчет'!$D:$FK,155,0)</f>
        <v>4.6609658400000002</v>
      </c>
    </row>
    <row r="31" spans="1:11" s="30" customFormat="1" ht="21" customHeight="1" x14ac:dyDescent="0.25">
      <c r="A31" s="148" t="s">
        <v>109</v>
      </c>
      <c r="B31" s="33" t="s">
        <v>108</v>
      </c>
      <c r="C31" s="119" t="str">
        <f>VLOOKUP($A$11,'[1]6.2. отчет'!$D:$DB,100,0)</f>
        <v>нд</v>
      </c>
      <c r="D31" s="119">
        <f>J31</f>
        <v>4.6609658400000002</v>
      </c>
      <c r="E31" s="119">
        <f>F31+G31</f>
        <v>4.6609658400000002</v>
      </c>
      <c r="F31" s="119">
        <f>F30</f>
        <v>4.6609658400000002</v>
      </c>
      <c r="G31" s="119">
        <f>VLOOKUP($A$11,'[1]6.2. отчет'!$D:$FK,111,0)</f>
        <v>0</v>
      </c>
      <c r="H31" s="119" t="s">
        <v>301</v>
      </c>
      <c r="I31" s="119" t="s">
        <v>301</v>
      </c>
      <c r="J31" s="119">
        <f>VLOOKUP($A$11,'[1]6.2. отчет'!$D:$FK,131,0)</f>
        <v>4.6609658400000002</v>
      </c>
      <c r="K31" s="119">
        <f>IF(J31=0,0,VLOOKUP($A$11,'[1]6.2. отчет'!$D:$FK,156,0))</f>
        <v>4.6609658400000002</v>
      </c>
    </row>
    <row r="32" spans="1:11" s="30" customFormat="1" ht="34.5" customHeight="1" x14ac:dyDescent="0.25">
      <c r="A32" s="148" t="s">
        <v>107</v>
      </c>
      <c r="B32" s="33" t="s">
        <v>106</v>
      </c>
      <c r="C32" s="119" t="str">
        <f>VLOOKUP($A$11,'[1]6.2. отчет'!$D:$DB,101,0)</f>
        <v>нд</v>
      </c>
      <c r="D32" s="119">
        <f t="shared" ref="D32:D34" si="4">J32</f>
        <v>0</v>
      </c>
      <c r="E32" s="119">
        <f t="shared" ref="E32:E34" si="5">F32+G32</f>
        <v>0</v>
      </c>
      <c r="F32" s="119">
        <v>0</v>
      </c>
      <c r="G32" s="119">
        <f>VLOOKUP($A$11,'[1]6.2. отчет'!$D:$FK,112,0)</f>
        <v>0</v>
      </c>
      <c r="H32" s="119" t="s">
        <v>301</v>
      </c>
      <c r="I32" s="119" t="s">
        <v>301</v>
      </c>
      <c r="J32" s="119">
        <f>VLOOKUP($A$11,'[1]6.2. отчет'!$D:$FK,132,0)</f>
        <v>0</v>
      </c>
      <c r="K32" s="119">
        <f>IF(J32=0,0,VLOOKUP($A$11,'[1]6.2. отчет'!$D:$FK,157,0))</f>
        <v>0</v>
      </c>
    </row>
    <row r="33" spans="1:11" s="30" customFormat="1" ht="20.25" customHeight="1" x14ac:dyDescent="0.25">
      <c r="A33" s="148" t="s">
        <v>105</v>
      </c>
      <c r="B33" s="33" t="s">
        <v>104</v>
      </c>
      <c r="C33" s="119" t="str">
        <f>VLOOKUP($A$11,'[1]6.2. отчет'!$D:$DB,102,0)</f>
        <v>нд</v>
      </c>
      <c r="D33" s="119">
        <f t="shared" si="4"/>
        <v>0</v>
      </c>
      <c r="E33" s="119">
        <f t="shared" si="5"/>
        <v>0</v>
      </c>
      <c r="F33" s="119">
        <v>0</v>
      </c>
      <c r="G33" s="119">
        <f>VLOOKUP($A$11,'[1]6.2. отчет'!$D:$FK,113,0)</f>
        <v>0</v>
      </c>
      <c r="H33" s="119" t="s">
        <v>301</v>
      </c>
      <c r="I33" s="119" t="s">
        <v>301</v>
      </c>
      <c r="J33" s="119">
        <f>VLOOKUP($A$11,'[1]6.2. отчет'!$D:$FK,133,0)</f>
        <v>0</v>
      </c>
      <c r="K33" s="119">
        <f>IF(J33=0,0,VLOOKUP($A$11,'[1]6.2. отчет'!$D:$FK,158,0))</f>
        <v>0</v>
      </c>
    </row>
    <row r="34" spans="1:11" s="30" customFormat="1" ht="17.25" customHeight="1" x14ac:dyDescent="0.25">
      <c r="A34" s="148" t="s">
        <v>103</v>
      </c>
      <c r="B34" s="33" t="s">
        <v>102</v>
      </c>
      <c r="C34" s="119" t="str">
        <f>VLOOKUP($A$11,'[1]6.2. отчет'!$D:$DB,103,0)</f>
        <v>нд</v>
      </c>
      <c r="D34" s="119">
        <f t="shared" si="4"/>
        <v>0</v>
      </c>
      <c r="E34" s="119">
        <f t="shared" si="5"/>
        <v>0</v>
      </c>
      <c r="F34" s="119">
        <v>0</v>
      </c>
      <c r="G34" s="119">
        <f>VLOOKUP($A$11,'[1]6.2. отчет'!$D:$FK,114,0)</f>
        <v>0</v>
      </c>
      <c r="H34" s="119" t="s">
        <v>301</v>
      </c>
      <c r="I34" s="119" t="s">
        <v>301</v>
      </c>
      <c r="J34" s="119">
        <f>VLOOKUP($A$11,'[1]6.2. отчет'!$D:$FK,134,0)</f>
        <v>0</v>
      </c>
      <c r="K34" s="119">
        <f>IF(J34=0,0,VLOOKUP($A$11,'[1]6.2. отчет'!$D:$FK,159,0))</f>
        <v>0</v>
      </c>
    </row>
    <row r="35" spans="1:11" s="77" customFormat="1" ht="31.5" x14ac:dyDescent="0.25">
      <c r="A35" s="148" t="s">
        <v>51</v>
      </c>
      <c r="B35" s="149" t="s">
        <v>101</v>
      </c>
      <c r="C35" s="119"/>
      <c r="D35" s="119"/>
      <c r="E35" s="119"/>
      <c r="F35" s="119"/>
      <c r="G35" s="119"/>
      <c r="H35" s="119"/>
      <c r="I35" s="120"/>
      <c r="J35" s="119"/>
      <c r="K35" s="120"/>
    </row>
    <row r="36" spans="1:11" s="30" customFormat="1" ht="31.5" x14ac:dyDescent="0.25">
      <c r="A36" s="150" t="s">
        <v>100</v>
      </c>
      <c r="B36" s="152" t="s">
        <v>99</v>
      </c>
      <c r="C36" s="119" t="str">
        <f>IF('1. паспорт местоположение'!$C$22="Прочие инвестиционные проекты",0,VLOOKUP($A$11,'[1]6.2. отчет'!$D:$FX,168,0))</f>
        <v>нд</v>
      </c>
      <c r="D36" s="157">
        <v>0</v>
      </c>
      <c r="E36" s="119">
        <f>F36+G36</f>
        <v>0</v>
      </c>
      <c r="F36" s="119">
        <v>0</v>
      </c>
      <c r="G36" s="119">
        <v>0</v>
      </c>
      <c r="H36" s="119" t="str">
        <f>IF('1. паспорт местоположение'!$C$22="Прочие инвестиционные проекты",0,VLOOKUP($A$11,'[1]6.2. отчет'!$D:$AGO,191,0))</f>
        <v>нд</v>
      </c>
      <c r="I36" s="119" t="str">
        <f>IF('1. паспорт местоположение'!$C$22="Прочие инвестиционные проекты",0,VLOOKUP($A$11,'[1]6.2. отчет'!$D:$AGO,246,0))</f>
        <v>нд</v>
      </c>
      <c r="J36" s="119">
        <f>IF('1. паспорт местоположение'!$C$22="Прочие инвестиционные проекты",0,VLOOKUP($A$11,'[1]6.2. отчет'!$D:$AGO,257,0))</f>
        <v>0</v>
      </c>
      <c r="K36" s="119">
        <f>IF('1. паспорт местоположение'!$C$22="Прочие инвестиционные проекты",0,VLOOKUP($A$11,'[1]6.2. отчет'!$D:$AGO,312,0))</f>
        <v>0</v>
      </c>
    </row>
    <row r="37" spans="1:11" s="30" customFormat="1" x14ac:dyDescent="0.25">
      <c r="A37" s="150" t="s">
        <v>98</v>
      </c>
      <c r="B37" s="152" t="s">
        <v>88</v>
      </c>
      <c r="C37" s="119" t="str">
        <f>IF('1. паспорт местоположение'!$C$22="Прочие инвестиционные проекты",0,VLOOKUP($A$11,'[1]6.2. отчет'!$D:$FX,169,0))</f>
        <v>нд</v>
      </c>
      <c r="D37" s="157">
        <f>VLOOKUP($A$11,'[1]6.2. отчет'!$D:$OZ,410,0)</f>
        <v>0</v>
      </c>
      <c r="E37" s="119">
        <f t="shared" ref="E37:E57" si="6">F37+G37</f>
        <v>0</v>
      </c>
      <c r="F37" s="119">
        <v>0</v>
      </c>
      <c r="G37" s="119">
        <v>0</v>
      </c>
      <c r="H37" s="119" t="str">
        <f>IF('1. паспорт местоположение'!$C$22="Прочие инвестиционные проекты",0,VLOOKUP($A$11,'[1]6.2. отчет'!$D:$AGO,192,0))</f>
        <v>нд</v>
      </c>
      <c r="I37" s="119" t="str">
        <f>IF('1. паспорт местоположение'!$C$22="Прочие инвестиционные проекты",0,VLOOKUP($A$11,'[1]6.2. отчет'!$D:$AGO,247,0))</f>
        <v>нд</v>
      </c>
      <c r="J37" s="119">
        <f>IF('1. паспорт местоположение'!$C$22="Прочие инвестиционные проекты",0,VLOOKUP($A$11,'[1]6.2. отчет'!$D:$AGO,258,0))</f>
        <v>0</v>
      </c>
      <c r="K37" s="119">
        <f>IF('1. паспорт местоположение'!$C$22="Прочие инвестиционные проекты",0,VLOOKUP($A$11,'[1]6.2. отчет'!$D:$AGO,313,0))</f>
        <v>0</v>
      </c>
    </row>
    <row r="38" spans="1:11" s="30" customFormat="1" x14ac:dyDescent="0.25">
      <c r="A38" s="150" t="s">
        <v>97</v>
      </c>
      <c r="B38" s="152" t="s">
        <v>86</v>
      </c>
      <c r="C38" s="119" t="str">
        <f>IF('1. паспорт местоположение'!$C$22="Прочие инвестиционные проекты",0,VLOOKUP($A$11,'[1]6.2. отчет'!$D:$FX,170,0))</f>
        <v>нд</v>
      </c>
      <c r="D38" s="157">
        <f>VLOOKUP($A$11,'[1]6.2. отчет'!$D:$OZ,411,0)</f>
        <v>0</v>
      </c>
      <c r="E38" s="119">
        <f t="shared" si="6"/>
        <v>0</v>
      </c>
      <c r="F38" s="119">
        <v>0</v>
      </c>
      <c r="G38" s="119">
        <v>0</v>
      </c>
      <c r="H38" s="119" t="str">
        <f>IF('1. паспорт местоположение'!$C$22="Прочие инвестиционные проекты",0,VLOOKUP($A$11,'[1]6.2. отчет'!$D:$AGO,193,0))</f>
        <v>нд</v>
      </c>
      <c r="I38" s="119" t="str">
        <f>IF('1. паспорт местоположение'!$C$22="Прочие инвестиционные проекты",0,VLOOKUP($A$11,'[1]6.2. отчет'!$D:$AGO,248,0))</f>
        <v>нд</v>
      </c>
      <c r="J38" s="119">
        <f>IF('1. паспорт местоположение'!$C$22="Прочие инвестиционные проекты",0,VLOOKUP($A$11,'[1]6.2. отчет'!$D:$AGO,259,0))</f>
        <v>0</v>
      </c>
      <c r="K38" s="119">
        <f>IF('1. паспорт местоположение'!$C$22="Прочие инвестиционные проекты",0,VLOOKUP($A$11,'[1]6.2. отчет'!$D:$AGO,314,0))</f>
        <v>0</v>
      </c>
    </row>
    <row r="39" spans="1:11" s="30" customFormat="1" ht="31.5" x14ac:dyDescent="0.25">
      <c r="A39" s="150" t="s">
        <v>96</v>
      </c>
      <c r="B39" s="33" t="s">
        <v>84</v>
      </c>
      <c r="C39" s="119" t="str">
        <f>IF('1. паспорт местоположение'!$C$22="Прочие инвестиционные проекты",0,VLOOKUP($A$11,'[1]6.2. отчет'!$D:$FX,172,0))</f>
        <v>нд</v>
      </c>
      <c r="D39" s="157">
        <f>VLOOKUP($A$11,'[1]6.2. отчет'!$D:$OZ,409,0)</f>
        <v>0</v>
      </c>
      <c r="E39" s="119">
        <f t="shared" si="6"/>
        <v>0</v>
      </c>
      <c r="F39" s="119">
        <v>0</v>
      </c>
      <c r="G39" s="119">
        <v>0</v>
      </c>
      <c r="H39" s="119" t="str">
        <f>IF('1. паспорт местоположение'!$C$22="Прочие инвестиционные проекты",0,VLOOKUP($A$11,'[1]6.2. отчет'!$D:$AGO,195,0))</f>
        <v>нд</v>
      </c>
      <c r="I39" s="119" t="str">
        <f>IF('1. паспорт местоположение'!$C$22="Прочие инвестиционные проекты",0,VLOOKUP($A$11,'[1]6.2. отчет'!$D:$AGO,250,0))</f>
        <v>нд</v>
      </c>
      <c r="J39" s="119">
        <f>IF('1. паспорт местоположение'!$C$22="Прочие инвестиционные проекты",0,VLOOKUP($A$11,'[1]6.2. отчет'!$D:$AGO,261,0))</f>
        <v>0</v>
      </c>
      <c r="K39" s="119">
        <f>IF('1. паспорт местоположение'!$C$22="Прочие инвестиционные проекты",0,VLOOKUP($A$11,'[1]6.2. отчет'!$D:$AGO,316,0))</f>
        <v>0</v>
      </c>
    </row>
    <row r="40" spans="1:11" s="30" customFormat="1" ht="31.5" x14ac:dyDescent="0.25">
      <c r="A40" s="150" t="s">
        <v>95</v>
      </c>
      <c r="B40" s="33" t="s">
        <v>82</v>
      </c>
      <c r="C40" s="119" t="str">
        <f>IF('1. паспорт местоположение'!$C$22="Прочие инвестиционные проекты",0,VLOOKUP($A$11,'[1]6.2. отчет'!$D:$FX,173,0))</f>
        <v>нд</v>
      </c>
      <c r="D40" s="157">
        <v>0</v>
      </c>
      <c r="E40" s="119">
        <f t="shared" si="6"/>
        <v>0</v>
      </c>
      <c r="F40" s="119">
        <v>0</v>
      </c>
      <c r="G40" s="119">
        <v>0</v>
      </c>
      <c r="H40" s="119" t="str">
        <f>IF('1. паспорт местоположение'!$C$22="Прочие инвестиционные проекты",0,VLOOKUP($A$11,'[1]6.2. отчет'!$D:$AGO,196,0))</f>
        <v>нд</v>
      </c>
      <c r="I40" s="119" t="str">
        <f>IF('1. паспорт местоположение'!$C$22="Прочие инвестиционные проекты",0,VLOOKUP($A$11,'[1]6.2. отчет'!$D:$AGO,251,0))</f>
        <v>нд</v>
      </c>
      <c r="J40" s="119">
        <f>IF('1. паспорт местоположение'!$C$22="Прочие инвестиционные проекты",0,VLOOKUP($A$11,'[1]6.2. отчет'!$D:$AGO,262,0))</f>
        <v>0</v>
      </c>
      <c r="K40" s="119">
        <f>IF('1. паспорт местоположение'!$C$22="Прочие инвестиционные проекты",0,VLOOKUP($A$11,'[1]6.2. отчет'!$D:$AGO,317,0))</f>
        <v>0</v>
      </c>
    </row>
    <row r="41" spans="1:11" s="30" customFormat="1" x14ac:dyDescent="0.25">
      <c r="A41" s="150" t="s">
        <v>94</v>
      </c>
      <c r="B41" s="33" t="s">
        <v>80</v>
      </c>
      <c r="C41" s="119" t="str">
        <f>IF('1. паспорт местоположение'!$C$22="Прочие инвестиционные проекты",0,VLOOKUP($A$11,'[1]6.2. отчет'!$D:$FX,174,0))</f>
        <v>нд</v>
      </c>
      <c r="D41" s="157">
        <v>0</v>
      </c>
      <c r="E41" s="119">
        <f t="shared" si="6"/>
        <v>0</v>
      </c>
      <c r="F41" s="119">
        <v>0</v>
      </c>
      <c r="G41" s="119">
        <v>0</v>
      </c>
      <c r="H41" s="119" t="str">
        <f>IF('1. паспорт местоположение'!$C$22="Прочие инвестиционные проекты",0,VLOOKUP($A$11,'[1]6.2. отчет'!$D:$AGO,197,0))</f>
        <v>нд</v>
      </c>
      <c r="I41" s="119" t="str">
        <f>IF('1. паспорт местоположение'!$C$22="Прочие инвестиционные проекты",0,VLOOKUP($A$11,'[1]6.2. отчет'!$D:$AGO,252,0))</f>
        <v>нд</v>
      </c>
      <c r="J41" s="119">
        <f>IF('1. паспорт местоположение'!$C$22="Прочие инвестиционные проекты",0,VLOOKUP($A$11,'[1]6.2. отчет'!$D:$AGO,263,0))</f>
        <v>0</v>
      </c>
      <c r="K41" s="119">
        <f>IF('1. паспорт местоположение'!$C$22="Прочие инвестиционные проекты",0,VLOOKUP($A$11,'[1]6.2. отчет'!$D:$AGO,318,0))</f>
        <v>0</v>
      </c>
    </row>
    <row r="42" spans="1:11" s="30" customFormat="1" x14ac:dyDescent="0.25">
      <c r="A42" s="150" t="s">
        <v>93</v>
      </c>
      <c r="B42" s="152" t="s">
        <v>449</v>
      </c>
      <c r="C42" s="119" t="str">
        <f>IF('1. паспорт местоположение'!$C$22="Прочие инвестиционные проекты",0,VLOOKUP($A$11,'[1]6.2. отчет'!$D:$FX,177,0))</f>
        <v>нд</v>
      </c>
      <c r="D42" s="157">
        <f>VLOOKUP($A$11,'[1]6.2. отчет'!$D:$OZ,412,0)</f>
        <v>0</v>
      </c>
      <c r="E42" s="119">
        <f t="shared" si="6"/>
        <v>0</v>
      </c>
      <c r="F42" s="119">
        <v>0</v>
      </c>
      <c r="G42" s="119">
        <v>0</v>
      </c>
      <c r="H42" s="119" t="str">
        <f>IF('1. паспорт местоположение'!$C$22="Прочие инвестиционные проекты",0,VLOOKUP($A$11,'[1]6.2. отчет'!$D:$AGO,200,0))</f>
        <v>нд</v>
      </c>
      <c r="I42" s="119" t="str">
        <f>IF('1. паспорт местоположение'!$C$22="Прочие инвестиционные проекты",0,VLOOKUP($A$11,'[1]6.2. отчет'!$D:$AGO,255,0))</f>
        <v>нд</v>
      </c>
      <c r="J42" s="119">
        <f>IF('1. паспорт местоположение'!$C$22="Прочие инвестиционные проекты",0,VLOOKUP($A$11,'[1]6.2. отчет'!$D:$AGO,266,0))</f>
        <v>0</v>
      </c>
      <c r="K42" s="119">
        <f>IF('1. паспорт местоположение'!$C$22="Прочие инвестиционные проекты",0,VLOOKUP($A$11,'[1]6.2. отчет'!$D:$AGO,321,0))</f>
        <v>0</v>
      </c>
    </row>
    <row r="43" spans="1:11" s="77" customFormat="1" ht="26.25" customHeight="1" x14ac:dyDescent="0.25">
      <c r="A43" s="148" t="s">
        <v>50</v>
      </c>
      <c r="B43" s="149" t="s">
        <v>92</v>
      </c>
      <c r="C43" s="119"/>
      <c r="D43" s="157"/>
      <c r="E43" s="119"/>
      <c r="F43" s="119"/>
      <c r="G43" s="119"/>
      <c r="H43" s="119"/>
      <c r="I43" s="120"/>
      <c r="J43" s="119"/>
      <c r="K43" s="120"/>
    </row>
    <row r="44" spans="1:11" s="30" customFormat="1" x14ac:dyDescent="0.25">
      <c r="A44" s="150" t="s">
        <v>91</v>
      </c>
      <c r="B44" s="33" t="s">
        <v>90</v>
      </c>
      <c r="C44" s="119" t="str">
        <f>VLOOKUP($A$11,'[1]6.2. отчет'!$D:$FX,168,0)</f>
        <v>нд</v>
      </c>
      <c r="D44" s="157">
        <v>0</v>
      </c>
      <c r="E44" s="119">
        <f t="shared" si="6"/>
        <v>0</v>
      </c>
      <c r="F44" s="119">
        <v>0</v>
      </c>
      <c r="G44" s="119">
        <f>VLOOKUP($A$11,'[1]6.2. отчет'!$D:$GJ,180,0)</f>
        <v>0</v>
      </c>
      <c r="H44" s="119" t="str">
        <f>VLOOKUP($A$11,'[1]6.2. отчет'!$D:$AGO,191,0)</f>
        <v>нд</v>
      </c>
      <c r="I44" s="119" t="str">
        <f>VLOOKUP($A$11,'[1]6.2. отчет'!$D:$AGO,246,0)</f>
        <v>нд</v>
      </c>
      <c r="J44" s="119">
        <f>VLOOKUP($A$11,'[1]6.2. отчет'!$D:$AGO,257,0)</f>
        <v>0</v>
      </c>
      <c r="K44" s="119">
        <f>VLOOKUP($A$11,'[1]6.2. отчет'!$D:$AGO,312,0)</f>
        <v>0</v>
      </c>
    </row>
    <row r="45" spans="1:11" s="30" customFormat="1" x14ac:dyDescent="0.25">
      <c r="A45" s="150" t="s">
        <v>89</v>
      </c>
      <c r="B45" s="33" t="s">
        <v>88</v>
      </c>
      <c r="C45" s="119" t="str">
        <f>VLOOKUP($A$11,'[1]6.2. отчет'!$D:$FX,169,0)</f>
        <v>нд</v>
      </c>
      <c r="D45" s="157">
        <f>VLOOKUP($A$11,'[1]6.2. отчет'!$D:$OZ,410,0)</f>
        <v>0</v>
      </c>
      <c r="E45" s="119">
        <f t="shared" si="6"/>
        <v>0</v>
      </c>
      <c r="F45" s="119">
        <v>0</v>
      </c>
      <c r="G45" s="119">
        <f>VLOOKUP($A$11,'[1]6.2. отчет'!$D:$GJ,181,0)</f>
        <v>0</v>
      </c>
      <c r="H45" s="119" t="str">
        <f>VLOOKUP($A$11,'[1]6.2. отчет'!$D:$AGO,192,0)</f>
        <v>нд</v>
      </c>
      <c r="I45" s="119" t="str">
        <f>VLOOKUP($A$11,'[1]6.2. отчет'!$D:$AGO,247,0)</f>
        <v>нд</v>
      </c>
      <c r="J45" s="119">
        <f>VLOOKUP($A$11,'[1]6.2. отчет'!$D:$AGO,258,0)</f>
        <v>0</v>
      </c>
      <c r="K45" s="119">
        <f>VLOOKUP($A$11,'[1]6.2. отчет'!$D:$AGO,313,0)</f>
        <v>0</v>
      </c>
    </row>
    <row r="46" spans="1:11" s="30" customFormat="1" x14ac:dyDescent="0.25">
      <c r="A46" s="150" t="s">
        <v>87</v>
      </c>
      <c r="B46" s="33" t="s">
        <v>86</v>
      </c>
      <c r="C46" s="119" t="str">
        <f>VLOOKUP($A$11,'[1]6.2. отчет'!$D:$FX,170,0)</f>
        <v>нд</v>
      </c>
      <c r="D46" s="157">
        <f>VLOOKUP($A$11,'[1]6.2. отчет'!$D:$OZ,411,0)</f>
        <v>0</v>
      </c>
      <c r="E46" s="119">
        <f t="shared" si="6"/>
        <v>0</v>
      </c>
      <c r="F46" s="119">
        <v>0</v>
      </c>
      <c r="G46" s="119">
        <f>VLOOKUP($A$11,'[1]6.2. отчет'!$D:$GJ,182,0)</f>
        <v>0</v>
      </c>
      <c r="H46" s="119" t="str">
        <f>VLOOKUP($A$11,'[1]6.2. отчет'!$D:$AGO,193,0)</f>
        <v>нд</v>
      </c>
      <c r="I46" s="119" t="str">
        <f>VLOOKUP($A$11,'[1]6.2. отчет'!$D:$AGO,248,0)</f>
        <v>нд</v>
      </c>
      <c r="J46" s="119">
        <f>VLOOKUP($A$11,'[1]6.2. отчет'!$D:$AGO,259,0)</f>
        <v>0</v>
      </c>
      <c r="K46" s="119">
        <f>VLOOKUP($A$11,'[1]6.2. отчет'!$D:$AGO,314,0)</f>
        <v>0</v>
      </c>
    </row>
    <row r="47" spans="1:11" s="30" customFormat="1" ht="31.5" x14ac:dyDescent="0.25">
      <c r="A47" s="150" t="s">
        <v>85</v>
      </c>
      <c r="B47" s="33" t="s">
        <v>84</v>
      </c>
      <c r="C47" s="119" t="str">
        <f>VLOOKUP($A$11,'[1]6.2. отчет'!$D:$FX,172,0)</f>
        <v>нд</v>
      </c>
      <c r="D47" s="157">
        <f>VLOOKUP($A$11,'[1]6.2. отчет'!$D:$OZ,409,0)</f>
        <v>0</v>
      </c>
      <c r="E47" s="119">
        <f t="shared" si="6"/>
        <v>0</v>
      </c>
      <c r="F47" s="119">
        <v>0</v>
      </c>
      <c r="G47" s="119">
        <f>VLOOKUP($A$11,'[1]6.2. отчет'!$D:$GJ,184,0)</f>
        <v>0</v>
      </c>
      <c r="H47" s="119" t="str">
        <f>VLOOKUP($A$11,'[1]6.2. отчет'!$D:$AGO,195,0)</f>
        <v>нд</v>
      </c>
      <c r="I47" s="119" t="str">
        <f>VLOOKUP($A$11,'[1]6.2. отчет'!$D:$AGO,250,0)</f>
        <v>нд</v>
      </c>
      <c r="J47" s="119">
        <f>VLOOKUP($A$11,'[1]6.2. отчет'!$D:$AGO,261,0)</f>
        <v>0</v>
      </c>
      <c r="K47" s="119">
        <f>VLOOKUP($A$11,'[1]6.2. отчет'!$D:$AGO,316,0)</f>
        <v>0</v>
      </c>
    </row>
    <row r="48" spans="1:11" s="30" customFormat="1" ht="31.5" x14ac:dyDescent="0.25">
      <c r="A48" s="150" t="s">
        <v>83</v>
      </c>
      <c r="B48" s="33" t="s">
        <v>82</v>
      </c>
      <c r="C48" s="119" t="str">
        <f>VLOOKUP($A$11,'[1]6.2. отчет'!$D:$FX,173,0)</f>
        <v>нд</v>
      </c>
      <c r="D48" s="157">
        <v>0</v>
      </c>
      <c r="E48" s="119">
        <f t="shared" si="6"/>
        <v>0</v>
      </c>
      <c r="F48" s="119">
        <v>0</v>
      </c>
      <c r="G48" s="119">
        <f>VLOOKUP($A$11,'[1]6.2. отчет'!$D:$GJ,185,0)</f>
        <v>0</v>
      </c>
      <c r="H48" s="119" t="str">
        <f>VLOOKUP($A$11,'[1]6.2. отчет'!$D:$AGO,196,0)</f>
        <v>нд</v>
      </c>
      <c r="I48" s="119" t="str">
        <f>VLOOKUP($A$11,'[1]6.2. отчет'!$D:$AGO,251,0)</f>
        <v>нд</v>
      </c>
      <c r="J48" s="119">
        <f>VLOOKUP($A$11,'[1]6.2. отчет'!$D:$AGO,262,0)</f>
        <v>0</v>
      </c>
      <c r="K48" s="119">
        <f>VLOOKUP($A$11,'[1]6.2. отчет'!$D:$AGO,317,0)</f>
        <v>0</v>
      </c>
    </row>
    <row r="49" spans="1:11" s="30" customFormat="1" x14ac:dyDescent="0.25">
      <c r="A49" s="150" t="s">
        <v>81</v>
      </c>
      <c r="B49" s="33" t="s">
        <v>80</v>
      </c>
      <c r="C49" s="119" t="str">
        <f>VLOOKUP($A$11,'[1]6.2. отчет'!$D:$FX,174,0)</f>
        <v>нд</v>
      </c>
      <c r="D49" s="157">
        <v>0</v>
      </c>
      <c r="E49" s="119">
        <f t="shared" si="6"/>
        <v>0</v>
      </c>
      <c r="F49" s="119">
        <v>0</v>
      </c>
      <c r="G49" s="119">
        <f>VLOOKUP($A$11,'[1]6.2. отчет'!$D:$GJ,186,0)</f>
        <v>0</v>
      </c>
      <c r="H49" s="119" t="str">
        <f>VLOOKUP($A$11,'[1]6.2. отчет'!$D:$AGO,197,0)</f>
        <v>нд</v>
      </c>
      <c r="I49" s="119" t="str">
        <f>VLOOKUP($A$11,'[1]6.2. отчет'!$D:$AGO,252,0)</f>
        <v>нд</v>
      </c>
      <c r="J49" s="119">
        <f>VLOOKUP($A$11,'[1]6.2. отчет'!$D:$AGO,263,0)</f>
        <v>0</v>
      </c>
      <c r="K49" s="119">
        <f>VLOOKUP($A$11,'[1]6.2. отчет'!$D:$AGO,318,0)</f>
        <v>0</v>
      </c>
    </row>
    <row r="50" spans="1:11" s="30" customFormat="1" x14ac:dyDescent="0.25">
      <c r="A50" s="150" t="s">
        <v>79</v>
      </c>
      <c r="B50" s="33" t="s">
        <v>449</v>
      </c>
      <c r="C50" s="119" t="str">
        <f>VLOOKUP($A$11,'[1]6.2. отчет'!$D:$FX,177,0)</f>
        <v>нд</v>
      </c>
      <c r="D50" s="157">
        <f>VLOOKUP($A$11,'[1]6.2. отчет'!$D:$OZ,412,0)</f>
        <v>0</v>
      </c>
      <c r="E50" s="119">
        <f t="shared" si="6"/>
        <v>0</v>
      </c>
      <c r="F50" s="119">
        <v>0</v>
      </c>
      <c r="G50" s="119">
        <f>VLOOKUP($A$11,'[1]6.2. отчет'!$D:$GJ,189,0)</f>
        <v>0</v>
      </c>
      <c r="H50" s="119" t="str">
        <f>VLOOKUP($A$11,'[1]6.2. отчет'!$D:$AGO,200,0)</f>
        <v>нд</v>
      </c>
      <c r="I50" s="119" t="str">
        <f>VLOOKUP($A$11,'[1]6.2. отчет'!$D:$AGO,255,0)</f>
        <v>нд</v>
      </c>
      <c r="J50" s="119">
        <f>VLOOKUP($A$11,'[1]6.2. отчет'!$D:$AGO,266,0)</f>
        <v>0</v>
      </c>
      <c r="K50" s="119">
        <f>VLOOKUP($A$11,'[1]6.2. отчет'!$D:$AGO,321,0)</f>
        <v>0</v>
      </c>
    </row>
    <row r="51" spans="1:11" s="30" customFormat="1" ht="31.5" x14ac:dyDescent="0.25">
      <c r="A51" s="148" t="s">
        <v>48</v>
      </c>
      <c r="B51" s="149" t="s">
        <v>78</v>
      </c>
      <c r="C51" s="119"/>
      <c r="D51" s="157"/>
      <c r="E51" s="119"/>
      <c r="F51" s="119"/>
      <c r="G51" s="119"/>
      <c r="H51" s="119"/>
      <c r="I51" s="120"/>
      <c r="J51" s="119"/>
      <c r="K51" s="120"/>
    </row>
    <row r="52" spans="1:11" s="77" customFormat="1" ht="35.25" customHeight="1" x14ac:dyDescent="0.25">
      <c r="A52" s="150" t="s">
        <v>77</v>
      </c>
      <c r="B52" s="33" t="s">
        <v>76</v>
      </c>
      <c r="C52" s="119" t="str">
        <f>VLOOKUP($A$11,'[1]6.2. отчет'!$D:$FX,167,0)</f>
        <v>нд</v>
      </c>
      <c r="D52" s="157">
        <f>VLOOKUP($A$11,'[1]6.2. отчет'!$D:$OZ,413,0)</f>
        <v>0</v>
      </c>
      <c r="E52" s="119">
        <f t="shared" si="6"/>
        <v>0</v>
      </c>
      <c r="F52" s="119">
        <v>0</v>
      </c>
      <c r="G52" s="119">
        <f>VLOOKUP($A$11,'[1]6.2. отчет'!$D:$GJ,179,0)</f>
        <v>0</v>
      </c>
      <c r="H52" s="119" t="str">
        <f>VLOOKUP($A$11,'[1]6.2. отчет'!$D:$AGO,190,0)</f>
        <v>нд</v>
      </c>
      <c r="I52" s="119" t="str">
        <f>VLOOKUP($A$11,'[1]6.2. отчет'!$D:$AGO,245,0)</f>
        <v>нд</v>
      </c>
      <c r="J52" s="119">
        <f>VLOOKUP($A$11,'[1]6.2. отчет'!$D:$AGO,256,0)</f>
        <v>0</v>
      </c>
      <c r="K52" s="119">
        <f>VLOOKUP($A$11,'[1]6.2. отчет'!$D:$AGO,311,0)</f>
        <v>0</v>
      </c>
    </row>
    <row r="53" spans="1:11" s="30" customFormat="1" ht="26.25" customHeight="1" x14ac:dyDescent="0.25">
      <c r="A53" s="150" t="s">
        <v>75</v>
      </c>
      <c r="B53" s="33" t="s">
        <v>69</v>
      </c>
      <c r="C53" s="119" t="str">
        <f>VLOOKUP($A$11,'[1]6.2. отчет'!$D:$FX,168,0)</f>
        <v>нд</v>
      </c>
      <c r="D53" s="157">
        <v>0</v>
      </c>
      <c r="E53" s="119">
        <f t="shared" si="6"/>
        <v>0</v>
      </c>
      <c r="F53" s="119">
        <v>0</v>
      </c>
      <c r="G53" s="119">
        <f>VLOOKUP($A$11,'[1]6.2. отчет'!$D:$GJ,180,0)</f>
        <v>0</v>
      </c>
      <c r="H53" s="119" t="str">
        <f>VLOOKUP($A$11,'[1]6.2. отчет'!$D:$AGO,191,0)</f>
        <v>нд</v>
      </c>
      <c r="I53" s="119" t="str">
        <f>VLOOKUP($A$11,'[1]6.2. отчет'!$D:$AGO,246,0)</f>
        <v>нд</v>
      </c>
      <c r="J53" s="119">
        <f>VLOOKUP($A$11,'[1]6.2. отчет'!$D:$AGO,257,0)</f>
        <v>0</v>
      </c>
      <c r="K53" s="119">
        <f>VLOOKUP($A$11,'[1]6.2. отчет'!$D:$AGO,312,0)</f>
        <v>0</v>
      </c>
    </row>
    <row r="54" spans="1:11" s="30" customFormat="1" x14ac:dyDescent="0.25">
      <c r="A54" s="150" t="s">
        <v>74</v>
      </c>
      <c r="B54" s="152" t="s">
        <v>68</v>
      </c>
      <c r="C54" s="119" t="str">
        <f>VLOOKUP($A$11,'[1]6.2. отчет'!$D:$FX,169,0)</f>
        <v>нд</v>
      </c>
      <c r="D54" s="157">
        <f>VLOOKUP($A$11,'[1]6.2. отчет'!$D:$OZ,410,0)</f>
        <v>0</v>
      </c>
      <c r="E54" s="119">
        <f t="shared" si="6"/>
        <v>0</v>
      </c>
      <c r="F54" s="119">
        <v>0</v>
      </c>
      <c r="G54" s="119">
        <f>VLOOKUP($A$11,'[1]6.2. отчет'!$D:$GJ,181,0)</f>
        <v>0</v>
      </c>
      <c r="H54" s="119" t="str">
        <f>VLOOKUP($A$11,'[1]6.2. отчет'!$D:$AGO,192,0)</f>
        <v>нд</v>
      </c>
      <c r="I54" s="119" t="str">
        <f>VLOOKUP($A$11,'[1]6.2. отчет'!$D:$AGO,247,0)</f>
        <v>нд</v>
      </c>
      <c r="J54" s="119">
        <f>VLOOKUP($A$11,'[1]6.2. отчет'!$D:$AGO,258,0)</f>
        <v>0</v>
      </c>
      <c r="K54" s="119">
        <f>VLOOKUP($A$11,'[1]6.2. отчет'!$D:$AGO,313,0)</f>
        <v>0</v>
      </c>
    </row>
    <row r="55" spans="1:11" s="30" customFormat="1" x14ac:dyDescent="0.25">
      <c r="A55" s="150" t="s">
        <v>73</v>
      </c>
      <c r="B55" s="152" t="s">
        <v>67</v>
      </c>
      <c r="C55" s="119" t="str">
        <f>VLOOKUP($A$11,'[1]6.2. отчет'!$D:$FX,170,0)</f>
        <v>нд</v>
      </c>
      <c r="D55" s="157">
        <f>VLOOKUP($A$11,'[1]6.2. отчет'!$D:$OZ,411,0)</f>
        <v>0</v>
      </c>
      <c r="E55" s="119">
        <f t="shared" si="6"/>
        <v>0</v>
      </c>
      <c r="F55" s="119">
        <v>0</v>
      </c>
      <c r="G55" s="119">
        <f>VLOOKUP($A$11,'[1]6.2. отчет'!$D:$GJ,182,0)</f>
        <v>0</v>
      </c>
      <c r="H55" s="119" t="str">
        <f>VLOOKUP($A$11,'[1]6.2. отчет'!$D:$AGO,193,0)</f>
        <v>нд</v>
      </c>
      <c r="I55" s="119" t="str">
        <f>VLOOKUP($A$11,'[1]6.2. отчет'!$D:$AGO,248,0)</f>
        <v>нд</v>
      </c>
      <c r="J55" s="119">
        <f>VLOOKUP($A$11,'[1]6.2. отчет'!$D:$AGO,259,0)</f>
        <v>0</v>
      </c>
      <c r="K55" s="119">
        <f>VLOOKUP($A$11,'[1]6.2. отчет'!$D:$AGO,314,0)</f>
        <v>0</v>
      </c>
    </row>
    <row r="56" spans="1:11" s="30" customFormat="1" x14ac:dyDescent="0.25">
      <c r="A56" s="150" t="s">
        <v>72</v>
      </c>
      <c r="B56" s="152" t="s">
        <v>66</v>
      </c>
      <c r="C56" s="119" t="str">
        <f>VLOOKUP($A$11,'[1]6.2. отчет'!$D:$FX,171,0)</f>
        <v>нд</v>
      </c>
      <c r="D56" s="157">
        <f>VLOOKUP($A$11,'[1]6.2. отчет'!$D:$OZ,409,0)</f>
        <v>0</v>
      </c>
      <c r="E56" s="119">
        <f t="shared" si="6"/>
        <v>0</v>
      </c>
      <c r="F56" s="119">
        <v>0</v>
      </c>
      <c r="G56" s="119">
        <f>VLOOKUP($A$11,'[1]6.2. отчет'!$D:$GJ,183,0)</f>
        <v>0</v>
      </c>
      <c r="H56" s="119" t="str">
        <f>VLOOKUP($A$11,'[1]6.2. отчет'!$D:$AGO,194,0)</f>
        <v>нд</v>
      </c>
      <c r="I56" s="119" t="str">
        <f>VLOOKUP($A$11,'[1]6.2. отчет'!$D:$AGO,249,0)</f>
        <v>нд</v>
      </c>
      <c r="J56" s="119">
        <f>VLOOKUP($A$11,'[1]6.2. отчет'!$D:$AGO,260,0)</f>
        <v>0</v>
      </c>
      <c r="K56" s="119">
        <f>VLOOKUP($A$11,'[1]6.2. отчет'!$D:$AGO,315,0)</f>
        <v>0</v>
      </c>
    </row>
    <row r="57" spans="1:11" s="30" customFormat="1" x14ac:dyDescent="0.25">
      <c r="A57" s="150" t="s">
        <v>71</v>
      </c>
      <c r="B57" s="33" t="s">
        <v>449</v>
      </c>
      <c r="C57" s="119" t="str">
        <f>VLOOKUP($A$11,'[1]6.2. отчет'!$D:$FX,177,0)</f>
        <v>нд</v>
      </c>
      <c r="D57" s="157">
        <f>VLOOKUP($A$11,'[1]6.2. отчет'!$D:$OZ,412,0)</f>
        <v>0</v>
      </c>
      <c r="E57" s="119">
        <f t="shared" si="6"/>
        <v>0</v>
      </c>
      <c r="F57" s="119">
        <v>0</v>
      </c>
      <c r="G57" s="119">
        <f>VLOOKUP($A$11,'[1]6.2. отчет'!$D:$GJ,189,0)</f>
        <v>0</v>
      </c>
      <c r="H57" s="119" t="str">
        <f>VLOOKUP($A$11,'[1]6.2. отчет'!$D:$AGO,200,0)</f>
        <v>нд</v>
      </c>
      <c r="I57" s="119" t="str">
        <f>VLOOKUP($A$11,'[1]6.2. отчет'!$D:$AGO,255,0)</f>
        <v>нд</v>
      </c>
      <c r="J57" s="119">
        <f>VLOOKUP($A$11,'[1]6.2. отчет'!$D:$AGO,266,0)</f>
        <v>0</v>
      </c>
      <c r="K57" s="119">
        <f>VLOOKUP($A$11,'[1]6.2. отчет'!$D:$AGO,321,0)</f>
        <v>0</v>
      </c>
    </row>
    <row r="58" spans="1:11" s="30" customFormat="1" ht="31.5" x14ac:dyDescent="0.25">
      <c r="A58" s="148" t="s">
        <v>47</v>
      </c>
      <c r="B58" s="153" t="s">
        <v>165</v>
      </c>
      <c r="C58" s="119"/>
      <c r="D58" s="119"/>
      <c r="E58" s="119"/>
      <c r="F58" s="119"/>
      <c r="G58" s="119"/>
      <c r="H58" s="119"/>
      <c r="I58" s="120"/>
      <c r="J58" s="119"/>
      <c r="K58" s="120"/>
    </row>
    <row r="59" spans="1:11" s="30" customFormat="1" x14ac:dyDescent="0.25">
      <c r="A59" s="148" t="s">
        <v>45</v>
      </c>
      <c r="B59" s="149" t="s">
        <v>70</v>
      </c>
      <c r="C59" s="119"/>
      <c r="D59" s="119"/>
      <c r="E59" s="119"/>
      <c r="F59" s="119"/>
      <c r="G59" s="119"/>
      <c r="H59" s="119"/>
      <c r="I59" s="120"/>
      <c r="J59" s="119"/>
      <c r="K59" s="120"/>
    </row>
    <row r="60" spans="1:11" s="77" customFormat="1" ht="36.75" customHeight="1" x14ac:dyDescent="0.25">
      <c r="A60" s="150" t="s">
        <v>159</v>
      </c>
      <c r="B60" s="154" t="s">
        <v>90</v>
      </c>
      <c r="C60" s="119" t="str">
        <f>VLOOKUP($A$11,'[1]6.2. отчет'!$D:$AGO,326,0)</f>
        <v>нд</v>
      </c>
      <c r="D60" s="119">
        <f t="shared" ref="D60:D63" si="7">J60</f>
        <v>0</v>
      </c>
      <c r="E60" s="119">
        <f t="shared" ref="E60:E64" si="8">F60+G60</f>
        <v>0</v>
      </c>
      <c r="F60" s="119">
        <v>0</v>
      </c>
      <c r="G60" s="119">
        <f>VLOOKUP($A$11,'[1]6.2. отчет'!$D:$AGO,333,0)</f>
        <v>0</v>
      </c>
      <c r="H60" s="119" t="str">
        <f>VLOOKUP($A$11,'[1]6.2. отчет'!$D:$AGO,341,0)</f>
        <v>нд</v>
      </c>
      <c r="I60" s="119" t="str">
        <f>VLOOKUP($A$11,'[1]6.2. отчет'!$D:$AGO,366,0)</f>
        <v>нд</v>
      </c>
      <c r="J60" s="119">
        <f>VLOOKUP($A$11,'[1]6.2. отчет'!$D:$AGO,371,0)</f>
        <v>0</v>
      </c>
      <c r="K60" s="119">
        <f>VLOOKUP($A$11,'[1]6.2. отчет'!$D:$AGO,396,0)</f>
        <v>0</v>
      </c>
    </row>
    <row r="61" spans="1:11" s="30" customFormat="1" x14ac:dyDescent="0.25">
      <c r="A61" s="150" t="s">
        <v>160</v>
      </c>
      <c r="B61" s="154" t="s">
        <v>88</v>
      </c>
      <c r="C61" s="119" t="str">
        <f>VLOOKUP($A$11,'[1]6.2. отчет'!$D:$AGO,327,0)</f>
        <v>нд</v>
      </c>
      <c r="D61" s="119">
        <f t="shared" si="7"/>
        <v>0</v>
      </c>
      <c r="E61" s="119">
        <f t="shared" si="8"/>
        <v>0</v>
      </c>
      <c r="F61" s="119">
        <v>0</v>
      </c>
      <c r="G61" s="119">
        <f>VLOOKUP($A$11,'[1]6.2. отчет'!$D:$AGO,334,0)</f>
        <v>0</v>
      </c>
      <c r="H61" s="119" t="str">
        <f>VLOOKUP($A$11,'[1]6.2. отчет'!$D:$AGO,338,0)</f>
        <v>нд</v>
      </c>
      <c r="I61" s="119" t="str">
        <f>VLOOKUP($A$11,'[1]6.2. отчет'!$D:$AGO,363,0)</f>
        <v>нд</v>
      </c>
      <c r="J61" s="119">
        <f>VLOOKUP($A$11,'[1]6.2. отчет'!$D:$AGO,368,0)</f>
        <v>0</v>
      </c>
      <c r="K61" s="119">
        <f>VLOOKUP($A$11,'[1]6.2. отчет'!$D:$AGO,393,0)</f>
        <v>0</v>
      </c>
    </row>
    <row r="62" spans="1:11" s="30" customFormat="1" x14ac:dyDescent="0.25">
      <c r="A62" s="150" t="s">
        <v>161</v>
      </c>
      <c r="B62" s="154" t="s">
        <v>86</v>
      </c>
      <c r="C62" s="119" t="str">
        <f>VLOOKUP($A$11,'[1]6.2. отчет'!$D:$AGO,328,0)</f>
        <v>нд</v>
      </c>
      <c r="D62" s="119">
        <f t="shared" si="7"/>
        <v>0</v>
      </c>
      <c r="E62" s="119">
        <f t="shared" si="8"/>
        <v>0</v>
      </c>
      <c r="F62" s="119">
        <v>0</v>
      </c>
      <c r="G62" s="119">
        <f>VLOOKUP($A$11,'[1]6.2. отчет'!$D:$AGO,335,0)</f>
        <v>0</v>
      </c>
      <c r="H62" s="119" t="str">
        <f>VLOOKUP($A$11,'[1]6.2. отчет'!$D:$AGO,339,0)</f>
        <v>нд</v>
      </c>
      <c r="I62" s="119" t="str">
        <f>VLOOKUP($A$11,'[1]6.2. отчет'!$D:$AGO,364,0)</f>
        <v>нд</v>
      </c>
      <c r="J62" s="119">
        <f>VLOOKUP($A$11,'[1]6.2. отчет'!$D:$AGO,369,0)</f>
        <v>0</v>
      </c>
      <c r="K62" s="119">
        <f>VLOOKUP($A$11,'[1]6.2. отчет'!$D:$AGO,394,0)</f>
        <v>0</v>
      </c>
    </row>
    <row r="63" spans="1:11" s="30" customFormat="1" x14ac:dyDescent="0.25">
      <c r="A63" s="150" t="s">
        <v>162</v>
      </c>
      <c r="B63" s="154" t="s">
        <v>164</v>
      </c>
      <c r="C63" s="119" t="str">
        <f>VLOOKUP($A$11,'[1]6.2. отчет'!$D:$AGO,329,0)</f>
        <v>нд</v>
      </c>
      <c r="D63" s="119">
        <f t="shared" si="7"/>
        <v>0</v>
      </c>
      <c r="E63" s="119">
        <f t="shared" si="8"/>
        <v>0</v>
      </c>
      <c r="F63" s="119">
        <v>0</v>
      </c>
      <c r="G63" s="119">
        <f>VLOOKUP($A$11,'[1]6.2. отчет'!$D:$AGO,336,0)</f>
        <v>0</v>
      </c>
      <c r="H63" s="119" t="str">
        <f>VLOOKUP($A$11,'[1]6.2. отчет'!$D:$AGO,340,0)</f>
        <v>нд</v>
      </c>
      <c r="I63" s="119" t="str">
        <f>VLOOKUP($A$11,'[1]6.2. отчет'!$D:$AGO,365,0)</f>
        <v>нд</v>
      </c>
      <c r="J63" s="119">
        <f>VLOOKUP($A$11,'[1]6.2. отчет'!$D:$AGO,370,0)</f>
        <v>0</v>
      </c>
      <c r="K63" s="119">
        <f>VLOOKUP($A$11,'[1]6.2. отчет'!$D:$AGO,395,0)</f>
        <v>0</v>
      </c>
    </row>
    <row r="64" spans="1:11" s="30" customFormat="1" ht="18.75" x14ac:dyDescent="0.25">
      <c r="A64" s="150" t="s">
        <v>163</v>
      </c>
      <c r="B64" s="152" t="s">
        <v>65</v>
      </c>
      <c r="C64" s="119" t="str">
        <f>VLOOKUP($A$11,'[1]6.2. отчет'!$D:$AGO,330,0)</f>
        <v>нд</v>
      </c>
      <c r="D64" s="119">
        <f>J64</f>
        <v>0</v>
      </c>
      <c r="E64" s="119">
        <f t="shared" si="8"/>
        <v>0</v>
      </c>
      <c r="F64" s="119">
        <v>0</v>
      </c>
      <c r="G64" s="119">
        <f>VLOOKUP($A$11,'[1]6.2. отчет'!$D:$AGO,337,0)</f>
        <v>0</v>
      </c>
      <c r="H64" s="119" t="str">
        <f>VLOOKUP($A$11,'[1]6.2. отчет'!$D:$AGO,342,0)</f>
        <v>нд</v>
      </c>
      <c r="I64" s="119" t="str">
        <f>VLOOKUP($A$11,'[1]6.2. отчет'!$D:$AGO,367,0)</f>
        <v>нд</v>
      </c>
      <c r="J64" s="119">
        <f>VLOOKUP($A$11,'[1]6.2. отчет'!$D:$AGO,372,0)</f>
        <v>0</v>
      </c>
      <c r="K64" s="119">
        <f>VLOOKUP($A$11,'[1]6.2. отчет'!$D:$AGO,396,0)</f>
        <v>0</v>
      </c>
    </row>
    <row r="65" spans="1:11" x14ac:dyDescent="0.25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</row>
  </sheetData>
  <mergeCells count="18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</mergeCells>
  <phoneticPr fontId="47" type="noConversion"/>
  <conditionalFormatting sqref="C30:K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70" zoomScaleNormal="100" zoomScaleSheetLayoutView="70" workbookViewId="0">
      <selection activeCell="E31" sqref="E31"/>
    </sheetView>
  </sheetViews>
  <sheetFormatPr defaultColWidth="9.140625" defaultRowHeight="15" x14ac:dyDescent="0.25"/>
  <cols>
    <col min="1" max="1" width="6.140625" style="73" customWidth="1"/>
    <col min="2" max="2" width="23.140625" style="73" customWidth="1"/>
    <col min="3" max="3" width="18.28515625" style="73" bestFit="1" customWidth="1"/>
    <col min="4" max="4" width="15.140625" style="73" customWidth="1"/>
    <col min="5" max="12" width="7.7109375" style="73" customWidth="1"/>
    <col min="13" max="13" width="14.5703125" style="73" customWidth="1"/>
    <col min="14" max="14" width="14.7109375" style="73" customWidth="1"/>
    <col min="15" max="15" width="14.5703125" style="73" customWidth="1"/>
    <col min="16" max="17" width="16.140625" style="73" customWidth="1"/>
    <col min="18" max="18" width="17" style="73" customWidth="1"/>
    <col min="19" max="20" width="9.7109375" style="73" customWidth="1"/>
    <col min="21" max="21" width="11.42578125" style="73" customWidth="1"/>
    <col min="22" max="22" width="12.7109375" style="73" customWidth="1"/>
    <col min="23" max="23" width="29" style="73" customWidth="1"/>
    <col min="24" max="24" width="15.42578125" style="73" customWidth="1"/>
    <col min="25" max="25" width="10.7109375" style="73" customWidth="1"/>
    <col min="26" max="26" width="7.7109375" style="73" customWidth="1"/>
    <col min="27" max="28" width="10.7109375" style="73" customWidth="1"/>
    <col min="29" max="29" width="27.5703125" style="73" customWidth="1"/>
    <col min="30" max="31" width="15.85546875" style="73" customWidth="1"/>
    <col min="32" max="32" width="15.5703125" style="73" customWidth="1"/>
    <col min="33" max="33" width="12.5703125" style="73" customWidth="1"/>
    <col min="34" max="36" width="11.5703125" style="73" customWidth="1"/>
    <col min="37" max="38" width="13.85546875" style="73" customWidth="1"/>
    <col min="39" max="39" width="18" style="73" customWidth="1"/>
    <col min="40" max="41" width="11" style="73" customWidth="1"/>
    <col min="42" max="42" width="13.42578125" style="73" customWidth="1"/>
    <col min="43" max="43" width="12.5703125" style="73" customWidth="1"/>
    <col min="44" max="44" width="14.140625" style="73" customWidth="1"/>
    <col min="45" max="46" width="13.28515625" style="73" customWidth="1"/>
    <col min="47" max="47" width="10.7109375" style="73" customWidth="1"/>
    <col min="48" max="48" width="30" style="73" customWidth="1"/>
    <col min="49" max="16384" width="9.140625" style="73"/>
  </cols>
  <sheetData>
    <row r="1" spans="1:48" ht="18.75" x14ac:dyDescent="0.25">
      <c r="AV1" s="20" t="s">
        <v>57</v>
      </c>
    </row>
    <row r="2" spans="1:48" ht="18.75" x14ac:dyDescent="0.3">
      <c r="AV2" s="21" t="s">
        <v>6</v>
      </c>
    </row>
    <row r="3" spans="1:48" ht="18.75" x14ac:dyDescent="0.3">
      <c r="AV3" s="21" t="s">
        <v>56</v>
      </c>
    </row>
    <row r="4" spans="1:48" ht="18.75" x14ac:dyDescent="0.3">
      <c r="AV4" s="21"/>
    </row>
    <row r="5" spans="1:48" ht="18.75" customHeight="1" x14ac:dyDescent="0.25">
      <c r="A5" s="186" t="str">
        <f>'1. паспорт местоположение'!$A$5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</row>
    <row r="6" spans="1:48" ht="18.75" x14ac:dyDescent="0.3">
      <c r="AV6" s="21"/>
    </row>
    <row r="7" spans="1:48" ht="18.75" x14ac:dyDescent="0.25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5.75" x14ac:dyDescent="0.25">
      <c r="A9" s="191" t="s">
        <v>287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1"/>
      <c r="AK9" s="191"/>
      <c r="AL9" s="191"/>
      <c r="AM9" s="191"/>
      <c r="AN9" s="191"/>
      <c r="AO9" s="191"/>
      <c r="AP9" s="191"/>
      <c r="AQ9" s="191"/>
      <c r="AR9" s="191"/>
      <c r="AS9" s="191"/>
      <c r="AT9" s="191"/>
      <c r="AU9" s="191"/>
      <c r="AV9" s="191"/>
    </row>
    <row r="10" spans="1:48" ht="15.75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5.75" x14ac:dyDescent="0.25">
      <c r="A12" s="191" t="str">
        <f>'6.2. Паспорт фин осв ввод'!A11:K11</f>
        <v>P_Che491_25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ht="15.75" x14ac:dyDescent="0.25">
      <c r="A13" s="192" t="s">
        <v>3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</row>
    <row r="14" spans="1:48" ht="18.75" x14ac:dyDescent="0.25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</row>
    <row r="15" spans="1:48" ht="15.75" x14ac:dyDescent="0.25">
      <c r="A15" s="191" t="str">
        <f>'6.2. Паспорт фин осв ввод'!A14:K14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1"/>
      <c r="AO15" s="191"/>
      <c r="AP15" s="191"/>
      <c r="AQ15" s="191"/>
      <c r="AR15" s="191"/>
      <c r="AS15" s="191"/>
      <c r="AT15" s="191"/>
      <c r="AU15" s="191"/>
      <c r="AV15" s="191"/>
    </row>
    <row r="16" spans="1:48" ht="15.75" x14ac:dyDescent="0.25">
      <c r="A16" s="192" t="s">
        <v>2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</row>
    <row r="17" spans="1:48" x14ac:dyDescent="0.25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</row>
    <row r="18" spans="1:48" ht="14.25" customHeight="1" x14ac:dyDescent="0.25">
      <c r="A18" s="283"/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</row>
    <row r="19" spans="1:48" x14ac:dyDescent="0.25">
      <c r="A19" s="283"/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</row>
    <row r="20" spans="1:48" x14ac:dyDescent="0.25">
      <c r="A20" s="283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</row>
    <row r="21" spans="1:48" x14ac:dyDescent="0.25">
      <c r="A21" s="286" t="s">
        <v>277</v>
      </c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</row>
    <row r="22" spans="1:48" s="74" customFormat="1" ht="58.5" customHeight="1" x14ac:dyDescent="0.25">
      <c r="A22" s="268" t="s">
        <v>41</v>
      </c>
      <c r="B22" s="287" t="s">
        <v>14</v>
      </c>
      <c r="C22" s="268" t="s">
        <v>40</v>
      </c>
      <c r="D22" s="268" t="s">
        <v>39</v>
      </c>
      <c r="E22" s="290" t="s">
        <v>283</v>
      </c>
      <c r="F22" s="291"/>
      <c r="G22" s="291"/>
      <c r="H22" s="291"/>
      <c r="I22" s="291"/>
      <c r="J22" s="291"/>
      <c r="K22" s="291"/>
      <c r="L22" s="292"/>
      <c r="M22" s="268" t="s">
        <v>38</v>
      </c>
      <c r="N22" s="268" t="s">
        <v>37</v>
      </c>
      <c r="O22" s="268" t="s">
        <v>36</v>
      </c>
      <c r="P22" s="270" t="s">
        <v>168</v>
      </c>
      <c r="Q22" s="270" t="s">
        <v>35</v>
      </c>
      <c r="R22" s="270" t="s">
        <v>34</v>
      </c>
      <c r="S22" s="270" t="s">
        <v>33</v>
      </c>
      <c r="T22" s="270"/>
      <c r="U22" s="293" t="s">
        <v>32</v>
      </c>
      <c r="V22" s="293" t="s">
        <v>31</v>
      </c>
      <c r="W22" s="270" t="s">
        <v>30</v>
      </c>
      <c r="X22" s="270" t="s">
        <v>29</v>
      </c>
      <c r="Y22" s="270" t="s">
        <v>28</v>
      </c>
      <c r="Z22" s="277" t="s">
        <v>27</v>
      </c>
      <c r="AA22" s="270" t="s">
        <v>26</v>
      </c>
      <c r="AB22" s="270" t="s">
        <v>25</v>
      </c>
      <c r="AC22" s="270" t="s">
        <v>24</v>
      </c>
      <c r="AD22" s="270" t="s">
        <v>23</v>
      </c>
      <c r="AE22" s="270" t="s">
        <v>22</v>
      </c>
      <c r="AF22" s="270" t="s">
        <v>21</v>
      </c>
      <c r="AG22" s="270"/>
      <c r="AH22" s="270"/>
      <c r="AI22" s="270"/>
      <c r="AJ22" s="270"/>
      <c r="AK22" s="270"/>
      <c r="AL22" s="271" t="s">
        <v>456</v>
      </c>
      <c r="AM22" s="271"/>
      <c r="AN22" s="271"/>
      <c r="AO22" s="271"/>
      <c r="AP22" s="270" t="s">
        <v>20</v>
      </c>
      <c r="AQ22" s="270"/>
      <c r="AR22" s="270" t="s">
        <v>19</v>
      </c>
      <c r="AS22" s="270" t="s">
        <v>18</v>
      </c>
      <c r="AT22" s="270" t="s">
        <v>17</v>
      </c>
      <c r="AU22" s="270" t="s">
        <v>16</v>
      </c>
      <c r="AV22" s="270" t="s">
        <v>15</v>
      </c>
    </row>
    <row r="23" spans="1:48" s="74" customFormat="1" ht="64.5" customHeight="1" x14ac:dyDescent="0.25">
      <c r="A23" s="274"/>
      <c r="B23" s="288"/>
      <c r="C23" s="274"/>
      <c r="D23" s="274"/>
      <c r="E23" s="284" t="s">
        <v>13</v>
      </c>
      <c r="F23" s="266" t="s">
        <v>69</v>
      </c>
      <c r="G23" s="266" t="s">
        <v>68</v>
      </c>
      <c r="H23" s="266" t="s">
        <v>67</v>
      </c>
      <c r="I23" s="275" t="s">
        <v>222</v>
      </c>
      <c r="J23" s="275" t="s">
        <v>223</v>
      </c>
      <c r="K23" s="275" t="s">
        <v>224</v>
      </c>
      <c r="L23" s="266" t="s">
        <v>64</v>
      </c>
      <c r="M23" s="274"/>
      <c r="N23" s="274"/>
      <c r="O23" s="274"/>
      <c r="P23" s="270"/>
      <c r="Q23" s="270"/>
      <c r="R23" s="270"/>
      <c r="S23" s="268" t="s">
        <v>0</v>
      </c>
      <c r="T23" s="268" t="s">
        <v>7</v>
      </c>
      <c r="U23" s="293"/>
      <c r="V23" s="293"/>
      <c r="W23" s="270"/>
      <c r="X23" s="270"/>
      <c r="Y23" s="270"/>
      <c r="Z23" s="270"/>
      <c r="AA23" s="270"/>
      <c r="AB23" s="270"/>
      <c r="AC23" s="270"/>
      <c r="AD23" s="270"/>
      <c r="AE23" s="270"/>
      <c r="AF23" s="270" t="s">
        <v>12</v>
      </c>
      <c r="AG23" s="270"/>
      <c r="AH23" s="271" t="s">
        <v>457</v>
      </c>
      <c r="AI23" s="271"/>
      <c r="AJ23" s="272" t="s">
        <v>458</v>
      </c>
      <c r="AK23" s="268" t="s">
        <v>11</v>
      </c>
      <c r="AL23" s="272" t="s">
        <v>459</v>
      </c>
      <c r="AM23" s="272" t="s">
        <v>460</v>
      </c>
      <c r="AN23" s="272" t="s">
        <v>461</v>
      </c>
      <c r="AO23" s="272" t="s">
        <v>462</v>
      </c>
      <c r="AP23" s="268" t="s">
        <v>10</v>
      </c>
      <c r="AQ23" s="278" t="s">
        <v>7</v>
      </c>
      <c r="AR23" s="270"/>
      <c r="AS23" s="270"/>
      <c r="AT23" s="270"/>
      <c r="AU23" s="270"/>
      <c r="AV23" s="270"/>
    </row>
    <row r="24" spans="1:48" s="74" customFormat="1" ht="96.75" customHeight="1" x14ac:dyDescent="0.25">
      <c r="A24" s="269"/>
      <c r="B24" s="289"/>
      <c r="C24" s="269"/>
      <c r="D24" s="269"/>
      <c r="E24" s="285"/>
      <c r="F24" s="267"/>
      <c r="G24" s="267"/>
      <c r="H24" s="267"/>
      <c r="I24" s="276"/>
      <c r="J24" s="276"/>
      <c r="K24" s="276"/>
      <c r="L24" s="267"/>
      <c r="M24" s="269"/>
      <c r="N24" s="269"/>
      <c r="O24" s="269"/>
      <c r="P24" s="270"/>
      <c r="Q24" s="270"/>
      <c r="R24" s="270"/>
      <c r="S24" s="269"/>
      <c r="T24" s="269"/>
      <c r="U24" s="293"/>
      <c r="V24" s="293"/>
      <c r="W24" s="270"/>
      <c r="X24" s="270"/>
      <c r="Y24" s="270"/>
      <c r="Z24" s="270"/>
      <c r="AA24" s="270"/>
      <c r="AB24" s="270"/>
      <c r="AC24" s="270"/>
      <c r="AD24" s="270"/>
      <c r="AE24" s="270"/>
      <c r="AF24" s="75" t="s">
        <v>9</v>
      </c>
      <c r="AG24" s="75" t="s">
        <v>8</v>
      </c>
      <c r="AH24" s="118" t="s">
        <v>0</v>
      </c>
      <c r="AI24" s="118" t="s">
        <v>7</v>
      </c>
      <c r="AJ24" s="273"/>
      <c r="AK24" s="269"/>
      <c r="AL24" s="273"/>
      <c r="AM24" s="273"/>
      <c r="AN24" s="273"/>
      <c r="AO24" s="273"/>
      <c r="AP24" s="269"/>
      <c r="AQ24" s="279"/>
      <c r="AR24" s="270"/>
      <c r="AS24" s="270"/>
      <c r="AT24" s="270"/>
      <c r="AU24" s="270"/>
      <c r="AV24" s="270"/>
    </row>
    <row r="25" spans="1:48" s="74" customFormat="1" x14ac:dyDescent="0.25">
      <c r="A25" s="76">
        <v>1</v>
      </c>
      <c r="B25" s="76">
        <v>2</v>
      </c>
      <c r="C25" s="76">
        <v>4</v>
      </c>
      <c r="D25" s="76">
        <v>5</v>
      </c>
      <c r="E25" s="76">
        <v>6</v>
      </c>
      <c r="F25" s="76">
        <f t="shared" ref="F25:AF25" si="0">E25+1</f>
        <v>7</v>
      </c>
      <c r="G25" s="76">
        <f t="shared" si="0"/>
        <v>8</v>
      </c>
      <c r="H25" s="76">
        <f t="shared" si="0"/>
        <v>9</v>
      </c>
      <c r="I25" s="76">
        <f t="shared" si="0"/>
        <v>10</v>
      </c>
      <c r="J25" s="76">
        <f t="shared" si="0"/>
        <v>11</v>
      </c>
      <c r="K25" s="76">
        <f t="shared" si="0"/>
        <v>12</v>
      </c>
      <c r="L25" s="76">
        <f t="shared" si="0"/>
        <v>13</v>
      </c>
      <c r="M25" s="76">
        <f t="shared" si="0"/>
        <v>14</v>
      </c>
      <c r="N25" s="76">
        <f t="shared" si="0"/>
        <v>15</v>
      </c>
      <c r="O25" s="76">
        <f t="shared" si="0"/>
        <v>16</v>
      </c>
      <c r="P25" s="76">
        <f t="shared" si="0"/>
        <v>17</v>
      </c>
      <c r="Q25" s="76">
        <f t="shared" si="0"/>
        <v>18</v>
      </c>
      <c r="R25" s="76">
        <f t="shared" si="0"/>
        <v>19</v>
      </c>
      <c r="S25" s="76">
        <f t="shared" si="0"/>
        <v>20</v>
      </c>
      <c r="T25" s="76">
        <f t="shared" si="0"/>
        <v>21</v>
      </c>
      <c r="U25" s="76">
        <f t="shared" si="0"/>
        <v>22</v>
      </c>
      <c r="V25" s="76">
        <f t="shared" si="0"/>
        <v>23</v>
      </c>
      <c r="W25" s="76">
        <f t="shared" si="0"/>
        <v>24</v>
      </c>
      <c r="X25" s="76">
        <f t="shared" si="0"/>
        <v>25</v>
      </c>
      <c r="Y25" s="76">
        <f t="shared" si="0"/>
        <v>26</v>
      </c>
      <c r="Z25" s="76">
        <f t="shared" si="0"/>
        <v>27</v>
      </c>
      <c r="AA25" s="76">
        <f t="shared" si="0"/>
        <v>28</v>
      </c>
      <c r="AB25" s="76">
        <f t="shared" si="0"/>
        <v>29</v>
      </c>
      <c r="AC25" s="76">
        <f t="shared" si="0"/>
        <v>30</v>
      </c>
      <c r="AD25" s="76">
        <f t="shared" si="0"/>
        <v>31</v>
      </c>
      <c r="AE25" s="76">
        <f t="shared" si="0"/>
        <v>32</v>
      </c>
      <c r="AF25" s="76">
        <f t="shared" si="0"/>
        <v>33</v>
      </c>
      <c r="AG25" s="76">
        <f t="shared" ref="AG25" si="1">AF25+1</f>
        <v>34</v>
      </c>
      <c r="AH25" s="76">
        <f t="shared" ref="AH25" si="2">AG25+1</f>
        <v>35</v>
      </c>
      <c r="AI25" s="76">
        <f t="shared" ref="AI25" si="3">AH25+1</f>
        <v>36</v>
      </c>
      <c r="AJ25" s="76">
        <f t="shared" ref="AJ25" si="4">AI25+1</f>
        <v>37</v>
      </c>
      <c r="AK25" s="76">
        <f t="shared" ref="AK25" si="5">AJ25+1</f>
        <v>38</v>
      </c>
      <c r="AL25" s="76">
        <f t="shared" ref="AL25" si="6">AK25+1</f>
        <v>39</v>
      </c>
      <c r="AM25" s="76">
        <f t="shared" ref="AM25" si="7">AL25+1</f>
        <v>40</v>
      </c>
      <c r="AN25" s="76">
        <f t="shared" ref="AN25" si="8">AM25+1</f>
        <v>41</v>
      </c>
      <c r="AO25" s="76">
        <f t="shared" ref="AO25" si="9">AN25+1</f>
        <v>42</v>
      </c>
      <c r="AP25" s="76">
        <f t="shared" ref="AP25" si="10">AO25+1</f>
        <v>43</v>
      </c>
      <c r="AQ25" s="76">
        <f t="shared" ref="AQ25" si="11">AP25+1</f>
        <v>44</v>
      </c>
      <c r="AR25" s="76">
        <f t="shared" ref="AR25" si="12">AQ25+1</f>
        <v>45</v>
      </c>
      <c r="AS25" s="76">
        <f t="shared" ref="AS25" si="13">AR25+1</f>
        <v>46</v>
      </c>
      <c r="AT25" s="76">
        <f t="shared" ref="AT25" si="14">AS25+1</f>
        <v>47</v>
      </c>
      <c r="AU25" s="76">
        <f t="shared" ref="AU25" si="15">AT25+1</f>
        <v>48</v>
      </c>
      <c r="AV25" s="76">
        <f t="shared" ref="AV25" si="16">AU25+1</f>
        <v>49</v>
      </c>
    </row>
    <row r="26" spans="1:48" ht="54" customHeight="1" x14ac:dyDescent="0.25">
      <c r="A26" s="138">
        <v>16</v>
      </c>
      <c r="B26" s="139" t="s">
        <v>287</v>
      </c>
      <c r="C26" s="141" t="s">
        <v>478</v>
      </c>
      <c r="D26" s="141" t="s">
        <v>501</v>
      </c>
      <c r="E26" s="140">
        <v>0</v>
      </c>
      <c r="F26" s="140">
        <v>0</v>
      </c>
      <c r="G26" s="140">
        <v>0</v>
      </c>
      <c r="H26" s="140">
        <v>0</v>
      </c>
      <c r="I26" s="140">
        <v>13</v>
      </c>
      <c r="J26" s="140">
        <v>0</v>
      </c>
      <c r="K26" s="140">
        <v>0</v>
      </c>
      <c r="L26" s="140">
        <v>0</v>
      </c>
      <c r="M26" s="155" t="s">
        <v>493</v>
      </c>
      <c r="N26" s="155" t="s">
        <v>493</v>
      </c>
      <c r="O26" s="142" t="s">
        <v>494</v>
      </c>
      <c r="P26" s="143">
        <v>4660.9658399999998</v>
      </c>
      <c r="Q26" s="138" t="s">
        <v>495</v>
      </c>
      <c r="R26" s="143">
        <v>4660.9658399999998</v>
      </c>
      <c r="S26" s="138" t="s">
        <v>496</v>
      </c>
      <c r="T26" s="138" t="s">
        <v>496</v>
      </c>
      <c r="U26" s="138">
        <v>1</v>
      </c>
      <c r="V26" s="138">
        <v>1</v>
      </c>
      <c r="W26" s="138" t="s">
        <v>497</v>
      </c>
      <c r="X26" s="156">
        <v>4660.9658399999998</v>
      </c>
      <c r="Y26" s="145" t="s">
        <v>290</v>
      </c>
      <c r="Z26" s="138">
        <v>1</v>
      </c>
      <c r="AA26" s="143">
        <v>4660.9658399999998</v>
      </c>
      <c r="AB26" s="143">
        <v>4660.9658399999998</v>
      </c>
      <c r="AC26" s="138" t="s">
        <v>497</v>
      </c>
      <c r="AD26" s="143" t="s">
        <v>498</v>
      </c>
      <c r="AE26" s="143" t="s">
        <v>498</v>
      </c>
      <c r="AF26" s="76" t="s">
        <v>499</v>
      </c>
      <c r="AG26" s="76" t="s">
        <v>466</v>
      </c>
      <c r="AH26" s="147">
        <v>45838</v>
      </c>
      <c r="AI26" s="147">
        <v>45838</v>
      </c>
      <c r="AJ26" s="147">
        <v>45854</v>
      </c>
      <c r="AK26" s="147">
        <v>45863</v>
      </c>
      <c r="AL26" s="280" t="s">
        <v>463</v>
      </c>
      <c r="AM26" s="281"/>
      <c r="AN26" s="281"/>
      <c r="AO26" s="282"/>
      <c r="AP26" s="147">
        <v>45881</v>
      </c>
      <c r="AQ26" s="147">
        <v>45881</v>
      </c>
      <c r="AR26" s="147">
        <v>45881</v>
      </c>
      <c r="AS26" s="147">
        <v>45881</v>
      </c>
      <c r="AT26" s="147">
        <v>46022</v>
      </c>
      <c r="AU26" s="144"/>
      <c r="AV26" s="146" t="s">
        <v>500</v>
      </c>
    </row>
  </sheetData>
  <mergeCells count="68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5" zoomScale="70" zoomScaleNormal="90" zoomScaleSheetLayoutView="70" workbookViewId="0">
      <selection activeCell="B61" sqref="B61"/>
    </sheetView>
  </sheetViews>
  <sheetFormatPr defaultColWidth="9.140625" defaultRowHeight="15.75" x14ac:dyDescent="0.25"/>
  <cols>
    <col min="1" max="1" width="72.28515625" style="12" customWidth="1"/>
    <col min="2" max="2" width="64.28515625" style="12" customWidth="1"/>
    <col min="3" max="3" width="10.7109375" style="7" customWidth="1"/>
    <col min="4" max="4" width="9.140625" style="7" customWidth="1"/>
    <col min="5" max="5" width="15.5703125" style="7" customWidth="1"/>
    <col min="6" max="7" width="9.140625" style="7"/>
    <col min="8" max="8" width="11.42578125" style="7" customWidth="1"/>
    <col min="9" max="9" width="29.42578125" style="7" customWidth="1"/>
    <col min="10" max="216" width="9.140625" style="7"/>
    <col min="217" max="218" width="66.140625" style="7" customWidth="1"/>
    <col min="219" max="16384" width="9.140625" style="7"/>
  </cols>
  <sheetData>
    <row r="1" spans="1:2" ht="18.75" x14ac:dyDescent="0.25">
      <c r="B1" s="20" t="s">
        <v>57</v>
      </c>
    </row>
    <row r="2" spans="1:2" ht="18.75" x14ac:dyDescent="0.3">
      <c r="B2" s="21" t="s">
        <v>6</v>
      </c>
    </row>
    <row r="3" spans="1:2" ht="18.75" x14ac:dyDescent="0.3">
      <c r="B3" s="21" t="s">
        <v>169</v>
      </c>
    </row>
    <row r="4" spans="1:2" x14ac:dyDescent="0.25">
      <c r="B4" s="6"/>
    </row>
    <row r="5" spans="1:2" x14ac:dyDescent="0.25">
      <c r="A5" s="295" t="str">
        <f>'1. паспорт местоположение'!$A$5</f>
        <v>Год раскрытия информации: 2025 год</v>
      </c>
      <c r="B5" s="295"/>
    </row>
    <row r="6" spans="1:2" ht="18.75" x14ac:dyDescent="0.3">
      <c r="A6" s="15"/>
      <c r="B6" s="15"/>
    </row>
    <row r="7" spans="1:2" x14ac:dyDescent="0.25">
      <c r="A7" s="296" t="s">
        <v>5</v>
      </c>
      <c r="B7" s="296"/>
    </row>
    <row r="8" spans="1:2" ht="18.75" x14ac:dyDescent="0.25">
      <c r="A8" s="50"/>
      <c r="B8" s="50"/>
    </row>
    <row r="9" spans="1:2" x14ac:dyDescent="0.25">
      <c r="A9" s="297" t="s">
        <v>287</v>
      </c>
      <c r="B9" s="297"/>
    </row>
    <row r="10" spans="1:2" x14ac:dyDescent="0.25">
      <c r="A10" s="192" t="s">
        <v>4</v>
      </c>
      <c r="B10" s="192"/>
    </row>
    <row r="11" spans="1:2" ht="18.75" x14ac:dyDescent="0.25">
      <c r="A11" s="50"/>
      <c r="B11" s="50"/>
    </row>
    <row r="12" spans="1:2" x14ac:dyDescent="0.25">
      <c r="A12" s="297" t="str">
        <f>'6.2. Паспорт фин осв ввод'!A11:K11</f>
        <v>P_Che491_25</v>
      </c>
      <c r="B12" s="297"/>
    </row>
    <row r="13" spans="1:2" x14ac:dyDescent="0.25">
      <c r="A13" s="192" t="s">
        <v>3</v>
      </c>
      <c r="B13" s="192"/>
    </row>
    <row r="14" spans="1:2" ht="18.75" x14ac:dyDescent="0.25">
      <c r="A14" s="1"/>
      <c r="B14" s="1"/>
    </row>
    <row r="15" spans="1:2" ht="57.75" customHeight="1" x14ac:dyDescent="0.25">
      <c r="A15" s="299" t="str">
        <f>'6.2. Паспорт фин осв ввод'!A14:K14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299"/>
    </row>
    <row r="16" spans="1:2" x14ac:dyDescent="0.25">
      <c r="A16" s="192" t="s">
        <v>2</v>
      </c>
      <c r="B16" s="192"/>
    </row>
    <row r="17" spans="1:9" x14ac:dyDescent="0.25">
      <c r="B17" s="70"/>
    </row>
    <row r="18" spans="1:9" ht="20.25" customHeight="1" x14ac:dyDescent="0.25">
      <c r="A18" s="298" t="s">
        <v>278</v>
      </c>
      <c r="B18" s="295"/>
    </row>
    <row r="19" spans="1:9" ht="10.5" customHeight="1" x14ac:dyDescent="0.25">
      <c r="B19" s="6"/>
    </row>
    <row r="20" spans="1:9" ht="10.5" customHeight="1" x14ac:dyDescent="0.25">
      <c r="B20" s="71"/>
    </row>
    <row r="21" spans="1:9" ht="158.25" customHeight="1" x14ac:dyDescent="0.25">
      <c r="A21" s="177" t="s">
        <v>173</v>
      </c>
      <c r="B21" s="160" t="str">
        <f>'1. паспорт местоположение'!A15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</row>
    <row r="22" spans="1:9" ht="28.5" customHeight="1" x14ac:dyDescent="0.25">
      <c r="A22" s="160" t="s">
        <v>174</v>
      </c>
      <c r="B22" s="159" t="str">
        <f>'1. паспорт местоположение'!C27</f>
        <v>Курчалоевский район</v>
      </c>
    </row>
    <row r="23" spans="1:9" ht="30" x14ac:dyDescent="0.25">
      <c r="A23" s="160" t="s">
        <v>170</v>
      </c>
      <c r="B23" s="159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60" t="s">
        <v>175</v>
      </c>
      <c r="B24" s="161" t="s">
        <v>476</v>
      </c>
    </row>
    <row r="25" spans="1:9" x14ac:dyDescent="0.25">
      <c r="A25" s="114" t="s">
        <v>176</v>
      </c>
      <c r="B25" s="158">
        <f>VLOOKUP($A$12,'[1]6.2. отчет'!$D:$OM,400,0)</f>
        <v>2025</v>
      </c>
    </row>
    <row r="26" spans="1:9" x14ac:dyDescent="0.25">
      <c r="A26" s="114" t="s">
        <v>177</v>
      </c>
      <c r="B26" s="161" t="s">
        <v>477</v>
      </c>
      <c r="I26" s="72"/>
    </row>
    <row r="27" spans="1:9" x14ac:dyDescent="0.25">
      <c r="A27" s="122" t="s">
        <v>450</v>
      </c>
      <c r="B27" s="127">
        <v>5.59</v>
      </c>
      <c r="C27" s="109"/>
    </row>
    <row r="28" spans="1:9" x14ac:dyDescent="0.25">
      <c r="A28" s="124" t="s">
        <v>178</v>
      </c>
      <c r="B28" s="124" t="s">
        <v>289</v>
      </c>
    </row>
    <row r="29" spans="1:9" x14ac:dyDescent="0.25">
      <c r="A29" s="122" t="s">
        <v>179</v>
      </c>
      <c r="B29" s="127">
        <f>B33+B43+B48</f>
        <v>5.5931590099999999</v>
      </c>
    </row>
    <row r="30" spans="1:9" ht="20.25" customHeight="1" x14ac:dyDescent="0.25">
      <c r="A30" s="122" t="s">
        <v>180</v>
      </c>
      <c r="B30" s="127">
        <f>B29</f>
        <v>5.5931590099999999</v>
      </c>
    </row>
    <row r="31" spans="1:9" x14ac:dyDescent="0.25">
      <c r="A31" s="124" t="s">
        <v>181</v>
      </c>
      <c r="B31" s="124"/>
    </row>
    <row r="32" spans="1:9" ht="28.5" x14ac:dyDescent="0.25">
      <c r="A32" s="122" t="s">
        <v>182</v>
      </c>
      <c r="B32" s="122"/>
    </row>
    <row r="33" spans="1:2" ht="18.75" customHeight="1" x14ac:dyDescent="0.25">
      <c r="A33" s="124" t="s">
        <v>467</v>
      </c>
      <c r="B33" s="127"/>
    </row>
    <row r="34" spans="1:2" x14ac:dyDescent="0.25">
      <c r="A34" s="124" t="s">
        <v>184</v>
      </c>
      <c r="B34" s="162"/>
    </row>
    <row r="35" spans="1:2" x14ac:dyDescent="0.25">
      <c r="A35" s="124" t="s">
        <v>185</v>
      </c>
      <c r="B35" s="127"/>
    </row>
    <row r="36" spans="1:2" x14ac:dyDescent="0.25">
      <c r="A36" s="124" t="s">
        <v>186</v>
      </c>
      <c r="B36" s="127"/>
    </row>
    <row r="37" spans="1:2" ht="28.5" x14ac:dyDescent="0.25">
      <c r="A37" s="122" t="s">
        <v>187</v>
      </c>
      <c r="B37" s="124"/>
    </row>
    <row r="38" spans="1:2" x14ac:dyDescent="0.25">
      <c r="A38" s="124" t="s">
        <v>183</v>
      </c>
      <c r="B38" s="159"/>
    </row>
    <row r="39" spans="1:2" x14ac:dyDescent="0.25">
      <c r="A39" s="124" t="s">
        <v>184</v>
      </c>
      <c r="B39" s="159"/>
    </row>
    <row r="40" spans="1:2" x14ac:dyDescent="0.25">
      <c r="A40" s="124" t="s">
        <v>185</v>
      </c>
      <c r="B40" s="159"/>
    </row>
    <row r="41" spans="1:2" x14ac:dyDescent="0.25">
      <c r="A41" s="124" t="s">
        <v>186</v>
      </c>
      <c r="B41" s="159"/>
    </row>
    <row r="42" spans="1:2" ht="28.5" x14ac:dyDescent="0.25">
      <c r="A42" s="175" t="s">
        <v>188</v>
      </c>
      <c r="B42" s="176" t="s">
        <v>487</v>
      </c>
    </row>
    <row r="43" spans="1:2" x14ac:dyDescent="0.25">
      <c r="A43" s="124" t="s">
        <v>488</v>
      </c>
      <c r="B43" s="173">
        <v>5.5931590099999999</v>
      </c>
    </row>
    <row r="44" spans="1:2" x14ac:dyDescent="0.25">
      <c r="A44" s="124" t="s">
        <v>184</v>
      </c>
      <c r="B44" s="174">
        <f>B43/B27</f>
        <v>1.0005651180679787</v>
      </c>
    </row>
    <row r="45" spans="1:2" x14ac:dyDescent="0.25">
      <c r="A45" s="124" t="s">
        <v>185</v>
      </c>
      <c r="B45" s="163">
        <v>0</v>
      </c>
    </row>
    <row r="46" spans="1:2" x14ac:dyDescent="0.25">
      <c r="A46" s="124" t="s">
        <v>186</v>
      </c>
      <c r="B46" s="163">
        <f>4.66096584*1.2</f>
        <v>5.5931590079999998</v>
      </c>
    </row>
    <row r="47" spans="1:2" s="123" customFormat="1" ht="28.5" x14ac:dyDescent="0.25">
      <c r="A47" s="122" t="s">
        <v>188</v>
      </c>
      <c r="B47" s="122"/>
    </row>
    <row r="48" spans="1:2" s="123" customFormat="1" x14ac:dyDescent="0.25">
      <c r="A48" s="124" t="s">
        <v>465</v>
      </c>
      <c r="B48" s="125"/>
    </row>
    <row r="49" spans="1:5" s="123" customFormat="1" x14ac:dyDescent="0.25">
      <c r="A49" s="124" t="s">
        <v>184</v>
      </c>
      <c r="B49" s="126">
        <f>B51/B27</f>
        <v>0</v>
      </c>
    </row>
    <row r="50" spans="1:5" s="123" customFormat="1" x14ac:dyDescent="0.25">
      <c r="A50" s="124" t="s">
        <v>185</v>
      </c>
      <c r="B50" s="127"/>
    </row>
    <row r="51" spans="1:5" s="123" customFormat="1" x14ac:dyDescent="0.25">
      <c r="A51" s="124" t="s">
        <v>186</v>
      </c>
      <c r="B51" s="127"/>
    </row>
    <row r="52" spans="1:5" ht="28.5" x14ac:dyDescent="0.25">
      <c r="A52" s="114" t="s">
        <v>189</v>
      </c>
      <c r="B52" s="164">
        <f>B54+B55+B56</f>
        <v>2.0011302357781755</v>
      </c>
    </row>
    <row r="53" spans="1:5" x14ac:dyDescent="0.25">
      <c r="A53" s="115" t="s">
        <v>181</v>
      </c>
      <c r="B53" s="165"/>
    </row>
    <row r="54" spans="1:5" x14ac:dyDescent="0.25">
      <c r="A54" s="115" t="s">
        <v>190</v>
      </c>
      <c r="B54" s="162">
        <f>(B51+B46+B36)/(B27-B57)</f>
        <v>1.0005651177101968</v>
      </c>
    </row>
    <row r="55" spans="1:5" x14ac:dyDescent="0.25">
      <c r="A55" s="115" t="s">
        <v>191</v>
      </c>
      <c r="B55" s="162">
        <v>0</v>
      </c>
    </row>
    <row r="56" spans="1:5" x14ac:dyDescent="0.25">
      <c r="A56" s="115" t="s">
        <v>192</v>
      </c>
      <c r="B56" s="162">
        <f>B49+B44</f>
        <v>1.0005651180679787</v>
      </c>
    </row>
    <row r="57" spans="1:5" x14ac:dyDescent="0.25">
      <c r="A57" s="114" t="s">
        <v>452</v>
      </c>
      <c r="B57" s="166">
        <f>B58+B59</f>
        <v>0</v>
      </c>
    </row>
    <row r="58" spans="1:5" x14ac:dyDescent="0.25">
      <c r="A58" s="114" t="s">
        <v>453</v>
      </c>
      <c r="B58" s="167"/>
    </row>
    <row r="59" spans="1:5" x14ac:dyDescent="0.25">
      <c r="A59" s="114" t="s">
        <v>454</v>
      </c>
      <c r="B59" s="168">
        <v>0</v>
      </c>
    </row>
    <row r="60" spans="1:5" x14ac:dyDescent="0.25">
      <c r="A60" s="114" t="s">
        <v>193</v>
      </c>
      <c r="B60" s="169">
        <f>B61/$B$27</f>
        <v>0</v>
      </c>
    </row>
    <row r="61" spans="1:5" x14ac:dyDescent="0.25">
      <c r="A61" s="114" t="s">
        <v>194</v>
      </c>
      <c r="B61" s="127">
        <f>'6.2. Паспорт фин осв ввод'!$D$24</f>
        <v>0</v>
      </c>
      <c r="C61" s="109"/>
      <c r="D61" s="49"/>
      <c r="E61" s="111"/>
    </row>
    <row r="62" spans="1:5" x14ac:dyDescent="0.25">
      <c r="A62" s="114" t="s">
        <v>195</v>
      </c>
      <c r="B62" s="169">
        <f>B63/B27</f>
        <v>0.83380426475849734</v>
      </c>
      <c r="D62" s="49"/>
    </row>
    <row r="63" spans="1:5" x14ac:dyDescent="0.25">
      <c r="A63" s="114" t="s">
        <v>196</v>
      </c>
      <c r="B63" s="127">
        <f>'6.2. Паспорт фин осв ввод'!$D$30</f>
        <v>4.6609658400000002</v>
      </c>
      <c r="C63" s="110"/>
      <c r="D63" s="49"/>
      <c r="E63" s="111"/>
    </row>
    <row r="64" spans="1:5" x14ac:dyDescent="0.25">
      <c r="A64" s="114" t="s">
        <v>197</v>
      </c>
      <c r="B64" s="115"/>
    </row>
    <row r="65" spans="1:2" x14ac:dyDescent="0.25">
      <c r="A65" s="115" t="s">
        <v>198</v>
      </c>
      <c r="B65" s="115" t="s">
        <v>287</v>
      </c>
    </row>
    <row r="66" spans="1:2" x14ac:dyDescent="0.25">
      <c r="A66" s="115" t="s">
        <v>199</v>
      </c>
      <c r="B66" s="115" t="s">
        <v>489</v>
      </c>
    </row>
    <row r="67" spans="1:2" x14ac:dyDescent="0.25">
      <c r="A67" s="115" t="s">
        <v>200</v>
      </c>
      <c r="B67" s="115" t="s">
        <v>301</v>
      </c>
    </row>
    <row r="68" spans="1:2" x14ac:dyDescent="0.25">
      <c r="A68" s="115" t="s">
        <v>201</v>
      </c>
      <c r="B68" s="115" t="s">
        <v>301</v>
      </c>
    </row>
    <row r="69" spans="1:2" x14ac:dyDescent="0.25">
      <c r="A69" s="115" t="s">
        <v>202</v>
      </c>
      <c r="B69" s="115"/>
    </row>
    <row r="70" spans="1:2" ht="14.25" customHeight="1" x14ac:dyDescent="0.25">
      <c r="A70" s="115" t="s">
        <v>203</v>
      </c>
      <c r="B70" s="159" t="s">
        <v>290</v>
      </c>
    </row>
    <row r="71" spans="1:2" ht="28.5" x14ac:dyDescent="0.25">
      <c r="A71" s="114" t="s">
        <v>204</v>
      </c>
      <c r="B71" s="170">
        <f>B73+B74</f>
        <v>0</v>
      </c>
    </row>
    <row r="72" spans="1:2" x14ac:dyDescent="0.25">
      <c r="A72" s="115" t="s">
        <v>181</v>
      </c>
      <c r="B72" s="171"/>
    </row>
    <row r="73" spans="1:2" x14ac:dyDescent="0.25">
      <c r="A73" s="115" t="s">
        <v>205</v>
      </c>
      <c r="B73" s="171"/>
    </row>
    <row r="74" spans="1:2" x14ac:dyDescent="0.25">
      <c r="A74" s="115" t="s">
        <v>206</v>
      </c>
      <c r="B74" s="171"/>
    </row>
    <row r="75" spans="1:2" x14ac:dyDescent="0.25">
      <c r="A75" s="116" t="s">
        <v>207</v>
      </c>
      <c r="B75" s="159"/>
    </row>
    <row r="76" spans="1:2" x14ac:dyDescent="0.25">
      <c r="A76" s="114" t="s">
        <v>208</v>
      </c>
      <c r="B76" s="124"/>
    </row>
    <row r="77" spans="1:2" x14ac:dyDescent="0.25">
      <c r="A77" s="115" t="s">
        <v>209</v>
      </c>
      <c r="B77" s="159"/>
    </row>
    <row r="78" spans="1:2" x14ac:dyDescent="0.25">
      <c r="A78" s="115" t="s">
        <v>210</v>
      </c>
      <c r="B78" s="159"/>
    </row>
    <row r="79" spans="1:2" x14ac:dyDescent="0.25">
      <c r="A79" s="115" t="s">
        <v>211</v>
      </c>
      <c r="B79" s="159"/>
    </row>
    <row r="80" spans="1:2" ht="28.5" x14ac:dyDescent="0.25">
      <c r="A80" s="117" t="s">
        <v>212</v>
      </c>
      <c r="B80" s="115" t="str">
        <f>$B$26</f>
        <v>Проектирование</v>
      </c>
    </row>
    <row r="81" spans="1:2" ht="28.5" x14ac:dyDescent="0.25">
      <c r="A81" s="114" t="s">
        <v>213</v>
      </c>
      <c r="B81" s="294"/>
    </row>
    <row r="82" spans="1:2" x14ac:dyDescent="0.25">
      <c r="A82" s="115" t="s">
        <v>214</v>
      </c>
      <c r="B82" s="294"/>
    </row>
    <row r="83" spans="1:2" x14ac:dyDescent="0.25">
      <c r="A83" s="115" t="s">
        <v>215</v>
      </c>
      <c r="B83" s="294"/>
    </row>
    <row r="84" spans="1:2" x14ac:dyDescent="0.25">
      <c r="A84" s="115" t="s">
        <v>216</v>
      </c>
      <c r="B84" s="294"/>
    </row>
    <row r="85" spans="1:2" x14ac:dyDescent="0.25">
      <c r="A85" s="115" t="s">
        <v>217</v>
      </c>
      <c r="B85" s="294"/>
    </row>
    <row r="86" spans="1:2" x14ac:dyDescent="0.25">
      <c r="A86" s="172" t="s">
        <v>218</v>
      </c>
      <c r="B86" s="294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G2" zoomScale="60" workbookViewId="0">
      <selection activeCell="K22" sqref="K22:L22"/>
    </sheetView>
  </sheetViews>
  <sheetFormatPr defaultColWidth="9.140625" defaultRowHeight="15" x14ac:dyDescent="0.25"/>
  <cols>
    <col min="1" max="1" width="7.42578125" style="48" customWidth="1"/>
    <col min="2" max="2" width="35.85546875" style="48" customWidth="1"/>
    <col min="3" max="3" width="31.140625" style="48" customWidth="1"/>
    <col min="4" max="4" width="25" style="48" customWidth="1"/>
    <col min="5" max="5" width="50" style="48" customWidth="1"/>
    <col min="6" max="6" width="57" style="48" customWidth="1"/>
    <col min="7" max="7" width="55.7109375" style="48" customWidth="1"/>
    <col min="8" max="10" width="20.5703125" style="48" customWidth="1"/>
    <col min="11" max="11" width="16" style="48" customWidth="1"/>
    <col min="12" max="12" width="20.5703125" style="48" customWidth="1"/>
    <col min="13" max="13" width="21.28515625" style="48" customWidth="1"/>
    <col min="14" max="14" width="23.85546875" style="48" customWidth="1"/>
    <col min="15" max="15" width="17.85546875" style="48" customWidth="1"/>
    <col min="16" max="16" width="23.85546875" style="48" customWidth="1"/>
    <col min="17" max="17" width="58" style="48" customWidth="1"/>
    <col min="18" max="18" width="27" style="48" customWidth="1"/>
    <col min="19" max="19" width="35.85546875" style="48" customWidth="1"/>
    <col min="20" max="16384" width="9.140625" style="48"/>
  </cols>
  <sheetData>
    <row r="1" spans="1:24" s="2" customFormat="1" ht="18.75" customHeight="1" x14ac:dyDescent="0.2">
      <c r="A1" s="19"/>
      <c r="S1" s="20" t="s">
        <v>57</v>
      </c>
    </row>
    <row r="2" spans="1:24" s="2" customFormat="1" ht="18.75" customHeight="1" x14ac:dyDescent="0.3">
      <c r="A2" s="19"/>
      <c r="S2" s="21" t="s">
        <v>6</v>
      </c>
    </row>
    <row r="3" spans="1:24" s="2" customFormat="1" ht="18.75" x14ac:dyDescent="0.3">
      <c r="S3" s="21" t="s">
        <v>56</v>
      </c>
    </row>
    <row r="4" spans="1:24" s="2" customFormat="1" ht="15.75" x14ac:dyDescent="0.2">
      <c r="A4" s="186" t="str">
        <f>'1. паспорт местоположение'!$A$5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4" s="2" customFormat="1" ht="15.75" x14ac:dyDescent="0.2">
      <c r="A5" s="22"/>
    </row>
    <row r="6" spans="1:24" s="2" customFormat="1" ht="18.75" x14ac:dyDescent="0.2">
      <c r="A6" s="190" t="s">
        <v>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</row>
    <row r="7" spans="1:24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</row>
    <row r="8" spans="1:24" s="2" customFormat="1" ht="18.75" customHeight="1" x14ac:dyDescent="0.2">
      <c r="A8" s="191" t="s">
        <v>309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</row>
    <row r="9" spans="1:24" s="2" customFormat="1" ht="18.75" customHeight="1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</row>
    <row r="10" spans="1:24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</row>
    <row r="11" spans="1:24" s="2" customFormat="1" ht="18.75" customHeight="1" x14ac:dyDescent="0.2">
      <c r="A11" s="191" t="str">
        <f>'1. паспорт местоположение'!A12:C12</f>
        <v>P_Che491_25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</row>
    <row r="12" spans="1:24" s="2" customFormat="1" ht="18.75" customHeight="1" x14ac:dyDescent="0.2">
      <c r="A12" s="192" t="s">
        <v>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</row>
    <row r="13" spans="1:24" s="2" customFormat="1" ht="15.75" customHeight="1" x14ac:dyDescent="0.2">
      <c r="A13" s="195"/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</row>
    <row r="14" spans="1:24" s="35" customFormat="1" ht="40.5" customHeight="1" x14ac:dyDescent="0.2">
      <c r="A14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</row>
    <row r="15" spans="1:24" s="35" customFormat="1" ht="15" customHeight="1" x14ac:dyDescent="0.2">
      <c r="A15" s="192" t="s">
        <v>2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</row>
    <row r="16" spans="1:24" s="35" customFormat="1" ht="15" customHeight="1" x14ac:dyDescent="0.2">
      <c r="A16" s="195"/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55"/>
      <c r="U16" s="55"/>
      <c r="V16" s="55"/>
      <c r="W16" s="55"/>
      <c r="X16" s="55"/>
    </row>
    <row r="17" spans="1:27" s="35" customFormat="1" ht="45.75" customHeight="1" x14ac:dyDescent="0.2">
      <c r="A17" s="201" t="s">
        <v>455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63"/>
      <c r="U17" s="63"/>
      <c r="V17" s="63"/>
      <c r="W17" s="63"/>
      <c r="X17" s="63"/>
      <c r="Y17" s="63"/>
      <c r="Z17" s="63"/>
      <c r="AA17" s="63"/>
    </row>
    <row r="18" spans="1:27" s="35" customFormat="1" ht="15" customHeight="1" x14ac:dyDescent="0.2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55"/>
      <c r="U18" s="55"/>
      <c r="V18" s="55"/>
      <c r="W18" s="55"/>
      <c r="X18" s="55"/>
    </row>
    <row r="19" spans="1:27" s="35" customFormat="1" ht="54" customHeight="1" x14ac:dyDescent="0.2">
      <c r="A19" s="196" t="s">
        <v>1</v>
      </c>
      <c r="B19" s="196" t="s">
        <v>310</v>
      </c>
      <c r="C19" s="198" t="s">
        <v>311</v>
      </c>
      <c r="D19" s="196" t="s">
        <v>312</v>
      </c>
      <c r="E19" s="196" t="s">
        <v>313</v>
      </c>
      <c r="F19" s="196" t="s">
        <v>314</v>
      </c>
      <c r="G19" s="196" t="s">
        <v>315</v>
      </c>
      <c r="H19" s="196" t="s">
        <v>316</v>
      </c>
      <c r="I19" s="196" t="s">
        <v>317</v>
      </c>
      <c r="J19" s="196" t="s">
        <v>318</v>
      </c>
      <c r="K19" s="196" t="s">
        <v>319</v>
      </c>
      <c r="L19" s="196" t="s">
        <v>320</v>
      </c>
      <c r="M19" s="196" t="s">
        <v>321</v>
      </c>
      <c r="N19" s="196" t="s">
        <v>322</v>
      </c>
      <c r="O19" s="196" t="s">
        <v>323</v>
      </c>
      <c r="P19" s="196" t="s">
        <v>324</v>
      </c>
      <c r="Q19" s="196" t="s">
        <v>325</v>
      </c>
      <c r="R19" s="196"/>
      <c r="S19" s="200" t="s">
        <v>326</v>
      </c>
      <c r="T19" s="55"/>
      <c r="U19" s="55"/>
      <c r="V19" s="55"/>
      <c r="W19" s="55"/>
      <c r="X19" s="55"/>
    </row>
    <row r="20" spans="1:27" s="35" customFormat="1" ht="180.75" customHeight="1" x14ac:dyDescent="0.2">
      <c r="A20" s="196"/>
      <c r="B20" s="196"/>
      <c r="C20" s="199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80" t="s">
        <v>327</v>
      </c>
      <c r="R20" s="36" t="s">
        <v>328</v>
      </c>
      <c r="S20" s="200"/>
      <c r="T20" s="55"/>
      <c r="U20" s="55"/>
      <c r="V20" s="55"/>
      <c r="W20" s="55"/>
      <c r="X20" s="55"/>
    </row>
    <row r="21" spans="1:27" s="35" customFormat="1" ht="18.75" x14ac:dyDescent="0.2">
      <c r="A21" s="80">
        <v>1</v>
      </c>
      <c r="B21" s="100">
        <v>2</v>
      </c>
      <c r="C21" s="80">
        <v>3</v>
      </c>
      <c r="D21" s="100">
        <v>4</v>
      </c>
      <c r="E21" s="80">
        <v>5</v>
      </c>
      <c r="F21" s="100">
        <v>6</v>
      </c>
      <c r="G21" s="80">
        <v>7</v>
      </c>
      <c r="H21" s="100">
        <v>8</v>
      </c>
      <c r="I21" s="80">
        <v>9</v>
      </c>
      <c r="J21" s="100">
        <v>10</v>
      </c>
      <c r="K21" s="80">
        <v>11</v>
      </c>
      <c r="L21" s="100">
        <v>12</v>
      </c>
      <c r="M21" s="80">
        <v>13</v>
      </c>
      <c r="N21" s="100">
        <v>14</v>
      </c>
      <c r="O21" s="80">
        <v>15</v>
      </c>
      <c r="P21" s="100">
        <v>16</v>
      </c>
      <c r="Q21" s="80">
        <v>17</v>
      </c>
      <c r="R21" s="100">
        <v>18</v>
      </c>
      <c r="S21" s="80">
        <v>19</v>
      </c>
      <c r="T21" s="55"/>
      <c r="U21" s="55"/>
      <c r="V21" s="55"/>
      <c r="W21" s="55"/>
      <c r="X21" s="55"/>
    </row>
    <row r="22" spans="1:27" s="103" customFormat="1" ht="72.75" customHeight="1" x14ac:dyDescent="0.2">
      <c r="A22" s="67">
        <v>1</v>
      </c>
      <c r="B22" s="66" t="s">
        <v>482</v>
      </c>
      <c r="C22" s="66" t="s">
        <v>448</v>
      </c>
      <c r="D22" s="66" t="str">
        <f>IF(B22="нд","нд",IF('3.3 паспорт описание'!C31="Объект введен на основные фонды",'3.3 паспорт описание'!C31,"в работе"))</f>
        <v>в работе</v>
      </c>
      <c r="E22" s="54" t="s">
        <v>301</v>
      </c>
      <c r="F22" s="66" t="s">
        <v>483</v>
      </c>
      <c r="G22" s="66" t="s">
        <v>490</v>
      </c>
      <c r="H22" s="66" t="s">
        <v>491</v>
      </c>
      <c r="I22" s="133" t="s">
        <v>301</v>
      </c>
      <c r="J22" s="66" t="s">
        <v>491</v>
      </c>
      <c r="K22" s="66">
        <v>10</v>
      </c>
      <c r="L22" s="66">
        <v>3</v>
      </c>
      <c r="M22" s="66" t="s">
        <v>301</v>
      </c>
      <c r="N22" s="66" t="s">
        <v>301</v>
      </c>
      <c r="O22" s="66" t="s">
        <v>301</v>
      </c>
      <c r="P22" s="66" t="s">
        <v>301</v>
      </c>
      <c r="Q22" s="66" t="s">
        <v>301</v>
      </c>
      <c r="R22" s="66" t="s">
        <v>301</v>
      </c>
      <c r="S22" s="133">
        <v>38.540436589999999</v>
      </c>
      <c r="T22" s="102"/>
      <c r="U22" s="102"/>
      <c r="V22" s="102"/>
      <c r="W22" s="102"/>
      <c r="X22" s="102"/>
    </row>
    <row r="23" spans="1:27" s="103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04"/>
      <c r="S23" s="104"/>
      <c r="T23" s="102"/>
      <c r="U23" s="102"/>
      <c r="V23" s="102"/>
    </row>
    <row r="24" spans="1:27" ht="20.25" customHeight="1" x14ac:dyDescent="0.25">
      <c r="A24" s="105"/>
      <c r="B24" s="101" t="s">
        <v>447</v>
      </c>
      <c r="C24" s="101"/>
      <c r="D24" s="101"/>
      <c r="E24" s="105" t="s">
        <v>448</v>
      </c>
      <c r="F24" s="105" t="s">
        <v>448</v>
      </c>
      <c r="G24" s="105" t="s">
        <v>448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6"/>
      <c r="R24" s="107"/>
      <c r="S24" s="107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8" customWidth="1"/>
    <col min="2" max="2" width="8.7109375" style="38" customWidth="1"/>
    <col min="3" max="3" width="26" style="38" customWidth="1"/>
    <col min="4" max="4" width="16.140625" style="38" customWidth="1"/>
    <col min="5" max="5" width="11.140625" style="38" customWidth="1"/>
    <col min="6" max="6" width="11" style="38" customWidth="1"/>
    <col min="7" max="7" width="8.7109375" style="38" customWidth="1"/>
    <col min="8" max="8" width="11.2851562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20" t="s">
        <v>57</v>
      </c>
    </row>
    <row r="3" spans="1:20" s="2" customFormat="1" ht="18.75" customHeight="1" x14ac:dyDescent="0.3">
      <c r="A3" s="19"/>
      <c r="T3" s="21" t="s">
        <v>6</v>
      </c>
    </row>
    <row r="4" spans="1:20" s="2" customFormat="1" ht="18.75" customHeight="1" x14ac:dyDescent="0.3">
      <c r="A4" s="19"/>
      <c r="T4" s="21" t="s">
        <v>56</v>
      </c>
    </row>
    <row r="5" spans="1:20" s="2" customFormat="1" ht="18.75" customHeight="1" x14ac:dyDescent="0.3">
      <c r="A5" s="19"/>
      <c r="T5" s="21"/>
    </row>
    <row r="6" spans="1:20" s="2" customFormat="1" x14ac:dyDescent="0.2">
      <c r="A6" s="186" t="str">
        <f>'1. паспорт местоположение'!$A$5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x14ac:dyDescent="0.2">
      <c r="A7" s="22"/>
    </row>
    <row r="8" spans="1:20" s="2" customFormat="1" ht="18.75" x14ac:dyDescent="0.2">
      <c r="A8" s="190" t="s">
        <v>5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309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'1. паспорт местоположение'!A12:C12</f>
        <v>P_Che491_25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3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2" customFormat="1" ht="15.75" customHeight="1" x14ac:dyDescent="0.2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</row>
    <row r="16" spans="1:20" s="35" customFormat="1" ht="90.75" customHeight="1" x14ac:dyDescent="0.2">
      <c r="A16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</row>
    <row r="17" spans="1:113" s="35" customFormat="1" ht="15" customHeight="1" x14ac:dyDescent="0.2">
      <c r="A17" s="192" t="s">
        <v>2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113" s="35" customFormat="1" ht="15" customHeight="1" x14ac:dyDescent="0.2">
      <c r="A18" s="195"/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</row>
    <row r="19" spans="1:113" s="35" customFormat="1" ht="15" customHeight="1" x14ac:dyDescent="0.2">
      <c r="A19" s="210" t="s">
        <v>329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113" s="37" customFormat="1" ht="21" customHeight="1" x14ac:dyDescent="0.25">
      <c r="A20" s="20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</row>
    <row r="21" spans="1:113" ht="46.5" customHeight="1" x14ac:dyDescent="0.25">
      <c r="A21" s="207" t="s">
        <v>1</v>
      </c>
      <c r="B21" s="212" t="s">
        <v>330</v>
      </c>
      <c r="C21" s="213"/>
      <c r="D21" s="216" t="s">
        <v>331</v>
      </c>
      <c r="E21" s="212" t="s">
        <v>332</v>
      </c>
      <c r="F21" s="213"/>
      <c r="G21" s="212" t="s">
        <v>333</v>
      </c>
      <c r="H21" s="213"/>
      <c r="I21" s="212" t="s">
        <v>334</v>
      </c>
      <c r="J21" s="213"/>
      <c r="K21" s="216" t="s">
        <v>335</v>
      </c>
      <c r="L21" s="212" t="s">
        <v>336</v>
      </c>
      <c r="M21" s="213"/>
      <c r="N21" s="212" t="s">
        <v>358</v>
      </c>
      <c r="O21" s="213"/>
      <c r="P21" s="216" t="s">
        <v>337</v>
      </c>
      <c r="Q21" s="203" t="s">
        <v>338</v>
      </c>
      <c r="R21" s="204"/>
      <c r="S21" s="203" t="s">
        <v>339</v>
      </c>
      <c r="T21" s="205"/>
    </row>
    <row r="22" spans="1:113" ht="204.75" customHeight="1" x14ac:dyDescent="0.25">
      <c r="A22" s="208"/>
      <c r="B22" s="214"/>
      <c r="C22" s="215"/>
      <c r="D22" s="218"/>
      <c r="E22" s="214"/>
      <c r="F22" s="215"/>
      <c r="G22" s="214"/>
      <c r="H22" s="215"/>
      <c r="I22" s="214"/>
      <c r="J22" s="215"/>
      <c r="K22" s="217"/>
      <c r="L22" s="214"/>
      <c r="M22" s="215"/>
      <c r="N22" s="214"/>
      <c r="O22" s="215"/>
      <c r="P22" s="217"/>
      <c r="Q22" s="39" t="s">
        <v>340</v>
      </c>
      <c r="R22" s="39" t="s">
        <v>341</v>
      </c>
      <c r="S22" s="39" t="s">
        <v>342</v>
      </c>
      <c r="T22" s="39" t="s">
        <v>343</v>
      </c>
    </row>
    <row r="23" spans="1:113" ht="51.75" customHeight="1" x14ac:dyDescent="0.25">
      <c r="A23" s="209"/>
      <c r="B23" s="39" t="s">
        <v>344</v>
      </c>
      <c r="C23" s="39" t="s">
        <v>345</v>
      </c>
      <c r="D23" s="217"/>
      <c r="E23" s="39" t="s">
        <v>344</v>
      </c>
      <c r="F23" s="39" t="s">
        <v>345</v>
      </c>
      <c r="G23" s="39" t="s">
        <v>344</v>
      </c>
      <c r="H23" s="39" t="s">
        <v>345</v>
      </c>
      <c r="I23" s="39" t="s">
        <v>344</v>
      </c>
      <c r="J23" s="39" t="s">
        <v>345</v>
      </c>
      <c r="K23" s="39" t="s">
        <v>344</v>
      </c>
      <c r="L23" s="39" t="s">
        <v>344</v>
      </c>
      <c r="M23" s="39" t="s">
        <v>345</v>
      </c>
      <c r="N23" s="39" t="s">
        <v>344</v>
      </c>
      <c r="O23" s="39" t="s">
        <v>345</v>
      </c>
      <c r="P23" s="57" t="s">
        <v>344</v>
      </c>
      <c r="Q23" s="39" t="s">
        <v>344</v>
      </c>
      <c r="R23" s="39" t="s">
        <v>344</v>
      </c>
      <c r="S23" s="39" t="s">
        <v>344</v>
      </c>
      <c r="T23" s="39" t="s">
        <v>344</v>
      </c>
    </row>
    <row r="24" spans="1:113" x14ac:dyDescent="0.25">
      <c r="A24" s="40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  <c r="M24" s="40">
        <v>13</v>
      </c>
      <c r="N24" s="40">
        <v>14</v>
      </c>
      <c r="O24" s="40">
        <v>15</v>
      </c>
      <c r="P24" s="40">
        <v>16</v>
      </c>
      <c r="Q24" s="40">
        <v>17</v>
      </c>
      <c r="R24" s="40">
        <v>18</v>
      </c>
      <c r="S24" s="40">
        <v>19</v>
      </c>
      <c r="T24" s="40">
        <v>20</v>
      </c>
    </row>
    <row r="25" spans="1:113" s="37" customFormat="1" ht="54" customHeight="1" x14ac:dyDescent="0.25">
      <c r="A25" s="41">
        <v>1</v>
      </c>
      <c r="B25" s="42" t="s">
        <v>301</v>
      </c>
      <c r="C25" s="42" t="s">
        <v>301</v>
      </c>
      <c r="D25" s="42" t="s">
        <v>301</v>
      </c>
      <c r="E25" s="42" t="s">
        <v>301</v>
      </c>
      <c r="F25" s="42" t="s">
        <v>301</v>
      </c>
      <c r="G25" s="42" t="s">
        <v>301</v>
      </c>
      <c r="H25" s="42" t="s">
        <v>301</v>
      </c>
      <c r="I25" s="42" t="s">
        <v>301</v>
      </c>
      <c r="J25" s="42" t="s">
        <v>301</v>
      </c>
      <c r="K25" s="42" t="s">
        <v>301</v>
      </c>
      <c r="L25" s="42" t="s">
        <v>301</v>
      </c>
      <c r="M25" s="42" t="s">
        <v>301</v>
      </c>
      <c r="N25" s="42" t="s">
        <v>301</v>
      </c>
      <c r="O25" s="42" t="s">
        <v>301</v>
      </c>
      <c r="P25" s="42" t="s">
        <v>301</v>
      </c>
      <c r="Q25" s="42" t="s">
        <v>301</v>
      </c>
      <c r="R25" s="42" t="s">
        <v>301</v>
      </c>
      <c r="S25" s="42" t="s">
        <v>301</v>
      </c>
      <c r="T25" s="42" t="s">
        <v>301</v>
      </c>
    </row>
    <row r="26" spans="1:113" ht="3" customHeight="1" x14ac:dyDescent="0.25"/>
    <row r="27" spans="1:113" s="97" customFormat="1" ht="12.75" x14ac:dyDescent="0.2">
      <c r="B27" s="96"/>
      <c r="C27" s="96"/>
      <c r="K27" s="96"/>
    </row>
    <row r="28" spans="1:113" s="97" customFormat="1" x14ac:dyDescent="0.25">
      <c r="B28" s="38" t="s">
        <v>346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13" x14ac:dyDescent="0.25">
      <c r="B29" s="211" t="s">
        <v>347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</row>
    <row r="31" spans="1:113" x14ac:dyDescent="0.25">
      <c r="B31" s="98" t="s">
        <v>348</v>
      </c>
      <c r="C31" s="98"/>
      <c r="D31" s="98"/>
      <c r="E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9"/>
      <c r="T31" s="99"/>
      <c r="U31" s="99"/>
      <c r="V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</row>
    <row r="32" spans="1:113" x14ac:dyDescent="0.25">
      <c r="B32" s="98" t="s">
        <v>349</v>
      </c>
      <c r="C32" s="98"/>
      <c r="D32" s="98"/>
      <c r="E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</row>
    <row r="33" spans="2:113" x14ac:dyDescent="0.25">
      <c r="B33" s="98" t="s">
        <v>350</v>
      </c>
      <c r="C33" s="98"/>
      <c r="D33" s="98"/>
      <c r="E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</row>
    <row r="34" spans="2:113" x14ac:dyDescent="0.25">
      <c r="B34" s="98" t="s">
        <v>351</v>
      </c>
      <c r="C34" s="98"/>
      <c r="D34" s="98"/>
      <c r="E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</row>
    <row r="35" spans="2:113" x14ac:dyDescent="0.25">
      <c r="B35" s="98" t="s">
        <v>352</v>
      </c>
      <c r="C35" s="98"/>
      <c r="D35" s="98"/>
      <c r="E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</row>
    <row r="36" spans="2:113" x14ac:dyDescent="0.25">
      <c r="B36" s="98" t="s">
        <v>353</v>
      </c>
      <c r="C36" s="98"/>
      <c r="D36" s="98"/>
      <c r="E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</row>
    <row r="37" spans="2:113" x14ac:dyDescent="0.25">
      <c r="B37" s="98" t="s">
        <v>354</v>
      </c>
      <c r="C37" s="98"/>
      <c r="D37" s="98"/>
      <c r="E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</row>
    <row r="38" spans="2:113" x14ac:dyDescent="0.25">
      <c r="B38" s="98" t="s">
        <v>355</v>
      </c>
      <c r="C38" s="98"/>
      <c r="D38" s="98"/>
      <c r="E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</row>
    <row r="39" spans="2:113" x14ac:dyDescent="0.25">
      <c r="B39" s="98" t="s">
        <v>356</v>
      </c>
      <c r="C39" s="98"/>
      <c r="D39" s="98"/>
      <c r="E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</row>
    <row r="40" spans="2:113" x14ac:dyDescent="0.25">
      <c r="B40" s="98" t="s">
        <v>357</v>
      </c>
      <c r="C40" s="98"/>
      <c r="D40" s="98"/>
      <c r="E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</row>
    <row r="41" spans="2:113" x14ac:dyDescent="0.25">
      <c r="Q41" s="98"/>
      <c r="R41" s="98"/>
      <c r="S41" s="98"/>
      <c r="T41" s="98"/>
      <c r="U41" s="98"/>
      <c r="V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</row>
    <row r="42" spans="2:113" x14ac:dyDescent="0.25"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8" customWidth="1"/>
    <col min="4" max="4" width="11.5703125" style="38" customWidth="1"/>
    <col min="5" max="5" width="11.8554687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3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3" width="8.71093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20" t="s">
        <v>57</v>
      </c>
    </row>
    <row r="2" spans="1:27" s="2" customFormat="1" ht="18.75" customHeight="1" x14ac:dyDescent="0.3">
      <c r="E2" s="19"/>
      <c r="AA2" s="21" t="s">
        <v>6</v>
      </c>
    </row>
    <row r="3" spans="1:27" s="2" customFormat="1" ht="18.75" customHeight="1" x14ac:dyDescent="0.3">
      <c r="E3" s="19"/>
      <c r="AA3" s="21" t="s">
        <v>56</v>
      </c>
    </row>
    <row r="4" spans="1:27" s="2" customFormat="1" x14ac:dyDescent="0.2">
      <c r="E4" s="22"/>
    </row>
    <row r="5" spans="1:27" s="2" customFormat="1" x14ac:dyDescent="0.2">
      <c r="A5" s="186" t="str">
        <f>'1. паспорт местоположение'!$A$5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</row>
    <row r="6" spans="1:27" s="2" customFormat="1" x14ac:dyDescent="0.2">
      <c r="A6" s="22"/>
    </row>
    <row r="7" spans="1:27" s="2" customFormat="1" ht="18.75" x14ac:dyDescent="0.2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</row>
    <row r="8" spans="1:27" s="2" customFormat="1" ht="18.75" x14ac:dyDescent="0.2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7" s="2" customFormat="1" ht="18.75" customHeight="1" x14ac:dyDescent="0.2">
      <c r="A9" s="191" t="s">
        <v>309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</row>
    <row r="10" spans="1:27" s="2" customFormat="1" ht="18.75" customHeight="1" x14ac:dyDescent="0.2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</row>
    <row r="11" spans="1:27" s="2" customFormat="1" ht="18.75" x14ac:dyDescent="0.2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7" s="2" customFormat="1" ht="18.75" customHeight="1" x14ac:dyDescent="0.2">
      <c r="A12" s="191" t="str">
        <f>'1. паспорт местоположение'!A12:C12</f>
        <v>P_Che491_25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</row>
    <row r="13" spans="1:27" s="2" customFormat="1" ht="18.75" customHeight="1" x14ac:dyDescent="0.2">
      <c r="A13" s="192" t="s">
        <v>3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</row>
    <row r="14" spans="1:27" s="2" customFormat="1" ht="15.75" customHeight="1" x14ac:dyDescent="0.2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</row>
    <row r="15" spans="1:27" s="35" customFormat="1" x14ac:dyDescent="0.2">
      <c r="A15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</row>
    <row r="16" spans="1:27" s="35" customFormat="1" ht="15" customHeight="1" x14ac:dyDescent="0.2">
      <c r="A16" s="192" t="s">
        <v>2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:27" s="35" customFormat="1" ht="15" customHeight="1" x14ac:dyDescent="0.2"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7" s="35" customFormat="1" ht="15" customHeight="1" x14ac:dyDescent="0.2"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</row>
    <row r="19" spans="1:27" ht="25.5" customHeight="1" x14ac:dyDescent="0.25">
      <c r="A19" s="210" t="s">
        <v>359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</row>
    <row r="20" spans="1:27" s="37" customFormat="1" ht="21" customHeight="1" x14ac:dyDescent="0.25"/>
    <row r="21" spans="1:27" ht="15.75" customHeight="1" x14ac:dyDescent="0.25">
      <c r="A21" s="216" t="s">
        <v>1</v>
      </c>
      <c r="B21" s="212" t="s">
        <v>360</v>
      </c>
      <c r="C21" s="213"/>
      <c r="D21" s="212" t="s">
        <v>361</v>
      </c>
      <c r="E21" s="213"/>
      <c r="F21" s="203" t="s">
        <v>319</v>
      </c>
      <c r="G21" s="205"/>
      <c r="H21" s="205"/>
      <c r="I21" s="204"/>
      <c r="J21" s="216" t="s">
        <v>362</v>
      </c>
      <c r="K21" s="212" t="s">
        <v>363</v>
      </c>
      <c r="L21" s="213"/>
      <c r="M21" s="212" t="s">
        <v>364</v>
      </c>
      <c r="N21" s="213"/>
      <c r="O21" s="212" t="s">
        <v>365</v>
      </c>
      <c r="P21" s="213"/>
      <c r="Q21" s="212" t="s">
        <v>366</v>
      </c>
      <c r="R21" s="213"/>
      <c r="S21" s="216" t="s">
        <v>367</v>
      </c>
      <c r="T21" s="216" t="s">
        <v>368</v>
      </c>
      <c r="U21" s="216" t="s">
        <v>369</v>
      </c>
      <c r="V21" s="212" t="s">
        <v>370</v>
      </c>
      <c r="W21" s="213"/>
      <c r="X21" s="203" t="s">
        <v>338</v>
      </c>
      <c r="Y21" s="205"/>
      <c r="Z21" s="203" t="s">
        <v>339</v>
      </c>
      <c r="AA21" s="205"/>
    </row>
    <row r="22" spans="1:27" ht="216" customHeight="1" x14ac:dyDescent="0.25">
      <c r="A22" s="218"/>
      <c r="B22" s="214"/>
      <c r="C22" s="215"/>
      <c r="D22" s="214"/>
      <c r="E22" s="215"/>
      <c r="F22" s="203" t="s">
        <v>371</v>
      </c>
      <c r="G22" s="204"/>
      <c r="H22" s="203" t="s">
        <v>372</v>
      </c>
      <c r="I22" s="204"/>
      <c r="J22" s="217"/>
      <c r="K22" s="214"/>
      <c r="L22" s="215"/>
      <c r="M22" s="214"/>
      <c r="N22" s="215"/>
      <c r="O22" s="214"/>
      <c r="P22" s="215"/>
      <c r="Q22" s="214"/>
      <c r="R22" s="215"/>
      <c r="S22" s="217"/>
      <c r="T22" s="217"/>
      <c r="U22" s="217"/>
      <c r="V22" s="214"/>
      <c r="W22" s="215"/>
      <c r="X22" s="39" t="s">
        <v>340</v>
      </c>
      <c r="Y22" s="39" t="s">
        <v>341</v>
      </c>
      <c r="Z22" s="39" t="s">
        <v>342</v>
      </c>
      <c r="AA22" s="39" t="s">
        <v>343</v>
      </c>
    </row>
    <row r="23" spans="1:27" ht="60" customHeight="1" x14ac:dyDescent="0.25">
      <c r="A23" s="217"/>
      <c r="B23" s="57" t="s">
        <v>344</v>
      </c>
      <c r="C23" s="57" t="s">
        <v>345</v>
      </c>
      <c r="D23" s="57" t="s">
        <v>344</v>
      </c>
      <c r="E23" s="57" t="s">
        <v>345</v>
      </c>
      <c r="F23" s="57" t="s">
        <v>344</v>
      </c>
      <c r="G23" s="57" t="s">
        <v>345</v>
      </c>
      <c r="H23" s="57" t="s">
        <v>344</v>
      </c>
      <c r="I23" s="57" t="s">
        <v>345</v>
      </c>
      <c r="J23" s="57" t="s">
        <v>344</v>
      </c>
      <c r="K23" s="57" t="s">
        <v>344</v>
      </c>
      <c r="L23" s="57" t="s">
        <v>345</v>
      </c>
      <c r="M23" s="57" t="s">
        <v>344</v>
      </c>
      <c r="N23" s="57" t="s">
        <v>345</v>
      </c>
      <c r="O23" s="57" t="s">
        <v>344</v>
      </c>
      <c r="P23" s="57" t="s">
        <v>345</v>
      </c>
      <c r="Q23" s="57" t="s">
        <v>344</v>
      </c>
      <c r="R23" s="57" t="s">
        <v>345</v>
      </c>
      <c r="S23" s="57" t="s">
        <v>344</v>
      </c>
      <c r="T23" s="57" t="s">
        <v>344</v>
      </c>
      <c r="U23" s="57" t="s">
        <v>344</v>
      </c>
      <c r="V23" s="57" t="s">
        <v>344</v>
      </c>
      <c r="W23" s="57" t="s">
        <v>345</v>
      </c>
      <c r="X23" s="57" t="s">
        <v>344</v>
      </c>
      <c r="Y23" s="57" t="s">
        <v>344</v>
      </c>
      <c r="Z23" s="39" t="s">
        <v>344</v>
      </c>
      <c r="AA23" s="39" t="s">
        <v>344</v>
      </c>
    </row>
    <row r="24" spans="1:27" x14ac:dyDescent="0.25">
      <c r="A24" s="94">
        <v>1</v>
      </c>
      <c r="B24" s="94">
        <v>2</v>
      </c>
      <c r="C24" s="94">
        <v>3</v>
      </c>
      <c r="D24" s="94">
        <v>4</v>
      </c>
      <c r="E24" s="94">
        <v>5</v>
      </c>
      <c r="F24" s="94">
        <v>6</v>
      </c>
      <c r="G24" s="94">
        <v>7</v>
      </c>
      <c r="H24" s="94">
        <v>8</v>
      </c>
      <c r="I24" s="94">
        <v>9</v>
      </c>
      <c r="J24" s="94">
        <v>10</v>
      </c>
      <c r="K24" s="94">
        <v>11</v>
      </c>
      <c r="L24" s="94">
        <v>12</v>
      </c>
      <c r="M24" s="94">
        <v>13</v>
      </c>
      <c r="N24" s="94">
        <v>14</v>
      </c>
      <c r="O24" s="94">
        <v>15</v>
      </c>
      <c r="P24" s="94">
        <v>16</v>
      </c>
      <c r="Q24" s="94">
        <v>19</v>
      </c>
      <c r="R24" s="94">
        <v>20</v>
      </c>
      <c r="S24" s="94">
        <v>21</v>
      </c>
      <c r="T24" s="94">
        <v>22</v>
      </c>
      <c r="U24" s="94">
        <v>23</v>
      </c>
      <c r="V24" s="94">
        <v>24</v>
      </c>
      <c r="W24" s="94">
        <v>25</v>
      </c>
      <c r="X24" s="94">
        <v>26</v>
      </c>
      <c r="Y24" s="94">
        <v>27</v>
      </c>
      <c r="Z24" s="94">
        <v>28</v>
      </c>
      <c r="AA24" s="94">
        <v>29</v>
      </c>
    </row>
    <row r="25" spans="1:27" s="37" customFormat="1" ht="24" customHeight="1" x14ac:dyDescent="0.25">
      <c r="A25" s="95" t="s">
        <v>301</v>
      </c>
      <c r="B25" s="95" t="s">
        <v>301</v>
      </c>
      <c r="C25" s="95" t="s">
        <v>301</v>
      </c>
      <c r="D25" s="95" t="s">
        <v>301</v>
      </c>
      <c r="E25" s="95" t="s">
        <v>301</v>
      </c>
      <c r="F25" s="95" t="s">
        <v>301</v>
      </c>
      <c r="G25" s="95" t="s">
        <v>301</v>
      </c>
      <c r="H25" s="95" t="s">
        <v>301</v>
      </c>
      <c r="I25" s="95" t="s">
        <v>301</v>
      </c>
      <c r="J25" s="95" t="s">
        <v>301</v>
      </c>
      <c r="K25" s="95" t="s">
        <v>301</v>
      </c>
      <c r="L25" s="95" t="s">
        <v>301</v>
      </c>
      <c r="M25" s="95" t="s">
        <v>301</v>
      </c>
      <c r="N25" s="95" t="s">
        <v>301</v>
      </c>
      <c r="O25" s="95" t="s">
        <v>301</v>
      </c>
      <c r="P25" s="95" t="s">
        <v>301</v>
      </c>
      <c r="Q25" s="95" t="s">
        <v>301</v>
      </c>
      <c r="R25" s="95" t="s">
        <v>301</v>
      </c>
      <c r="S25" s="95" t="s">
        <v>301</v>
      </c>
      <c r="T25" s="95" t="s">
        <v>301</v>
      </c>
      <c r="U25" s="95" t="s">
        <v>301</v>
      </c>
      <c r="V25" s="95" t="s">
        <v>301</v>
      </c>
      <c r="W25" s="95" t="s">
        <v>301</v>
      </c>
      <c r="X25" s="95" t="s">
        <v>301</v>
      </c>
      <c r="Y25" s="95" t="s">
        <v>301</v>
      </c>
      <c r="Z25" s="95" t="s">
        <v>301</v>
      </c>
      <c r="AA25" s="95" t="s">
        <v>301</v>
      </c>
    </row>
    <row r="26" spans="1:27" ht="21.75" customHeight="1" x14ac:dyDescent="0.25"/>
    <row r="27" spans="1:27" s="97" customFormat="1" ht="12.75" x14ac:dyDescent="0.2">
      <c r="A27" s="96"/>
      <c r="B27" s="96"/>
      <c r="C27" s="96"/>
      <c r="E27" s="96"/>
    </row>
    <row r="28" spans="1:27" s="97" customFormat="1" ht="12.75" x14ac:dyDescent="0.2">
      <c r="A28" s="96"/>
      <c r="B28" s="96"/>
      <c r="C28" s="96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view="pageBreakPreview" topLeftCell="A4" zoomScale="60" zoomScaleNormal="100" workbookViewId="0">
      <selection activeCell="G25" sqref="G25"/>
    </sheetView>
  </sheetViews>
  <sheetFormatPr defaultColWidth="9.140625" defaultRowHeight="15" x14ac:dyDescent="0.25"/>
  <cols>
    <col min="1" max="1" width="6.140625" style="48" customWidth="1"/>
    <col min="2" max="2" width="69.7109375" style="48" customWidth="1"/>
    <col min="3" max="3" width="156.5703125" style="48" customWidth="1"/>
    <col min="4" max="16384" width="9.140625" style="48"/>
  </cols>
  <sheetData>
    <row r="1" spans="1:3" s="2" customFormat="1" ht="18.75" customHeight="1" x14ac:dyDescent="0.2">
      <c r="A1" s="19"/>
      <c r="C1" s="20" t="s">
        <v>57</v>
      </c>
    </row>
    <row r="2" spans="1:3" s="2" customFormat="1" ht="18.75" customHeight="1" x14ac:dyDescent="0.3">
      <c r="A2" s="19"/>
      <c r="C2" s="21" t="s">
        <v>6</v>
      </c>
    </row>
    <row r="3" spans="1:3" s="2" customFormat="1" ht="18.75" customHeight="1" x14ac:dyDescent="0.3">
      <c r="A3" s="22"/>
      <c r="C3" s="21" t="s">
        <v>56</v>
      </c>
    </row>
    <row r="4" spans="1:3" s="2" customFormat="1" ht="18.75" customHeight="1" x14ac:dyDescent="0.3">
      <c r="A4" s="22"/>
      <c r="C4" s="21"/>
    </row>
    <row r="5" spans="1:3" s="2" customFormat="1" ht="15.75" x14ac:dyDescent="0.2">
      <c r="A5" s="186" t="str">
        <f>'1. паспорт местоположение'!A5:C5</f>
        <v>Год раскрытия информации: 2025 год</v>
      </c>
      <c r="B5" s="186"/>
      <c r="C5" s="186"/>
    </row>
    <row r="6" spans="1:3" s="2" customFormat="1" ht="7.5" customHeight="1" x14ac:dyDescent="0.2">
      <c r="A6" s="22"/>
    </row>
    <row r="7" spans="1:3" s="2" customFormat="1" ht="18.75" x14ac:dyDescent="0.2">
      <c r="A7" s="190" t="s">
        <v>5</v>
      </c>
      <c r="B7" s="190"/>
      <c r="C7" s="190"/>
    </row>
    <row r="8" spans="1:3" s="2" customFormat="1" ht="9.75" customHeight="1" x14ac:dyDescent="0.2">
      <c r="A8" s="190"/>
      <c r="B8" s="190"/>
      <c r="C8" s="190"/>
    </row>
    <row r="9" spans="1:3" s="2" customFormat="1" ht="15.75" x14ac:dyDescent="0.2">
      <c r="A9" s="191" t="str">
        <f>'1. паспорт местоположение'!A9:C9</f>
        <v>АО "Чеченэнерго"</v>
      </c>
      <c r="B9" s="191"/>
      <c r="C9" s="191"/>
    </row>
    <row r="10" spans="1:3" s="2" customFormat="1" ht="15.75" x14ac:dyDescent="0.2">
      <c r="A10" s="192" t="s">
        <v>4</v>
      </c>
      <c r="B10" s="192"/>
      <c r="C10" s="192"/>
    </row>
    <row r="11" spans="1:3" s="2" customFormat="1" ht="10.5" customHeight="1" x14ac:dyDescent="0.2">
      <c r="A11" s="220"/>
      <c r="B11" s="220"/>
      <c r="C11" s="220"/>
    </row>
    <row r="12" spans="1:3" s="2" customFormat="1" ht="15.75" x14ac:dyDescent="0.2">
      <c r="A12" s="191" t="str">
        <f>'1. паспорт местоположение'!A12:C12</f>
        <v>P_Che491_25</v>
      </c>
      <c r="B12" s="191"/>
      <c r="C12" s="191"/>
    </row>
    <row r="13" spans="1:3" s="2" customFormat="1" ht="15.75" x14ac:dyDescent="0.2">
      <c r="A13" s="192" t="s">
        <v>3</v>
      </c>
      <c r="B13" s="192"/>
      <c r="C13" s="192"/>
    </row>
    <row r="14" spans="1:3" s="2" customFormat="1" ht="15.75" customHeight="1" x14ac:dyDescent="0.2">
      <c r="A14" s="195"/>
      <c r="B14" s="195"/>
      <c r="C14" s="195"/>
    </row>
    <row r="15" spans="1:3" s="35" customFormat="1" ht="44.25" customHeight="1" x14ac:dyDescent="0.2">
      <c r="A15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202"/>
      <c r="C15" s="202"/>
    </row>
    <row r="16" spans="1:3" s="35" customFormat="1" ht="15" customHeight="1" x14ac:dyDescent="0.2">
      <c r="A16" s="192" t="s">
        <v>2</v>
      </c>
      <c r="B16" s="192"/>
      <c r="C16" s="192"/>
    </row>
    <row r="17" spans="1:3" s="35" customFormat="1" ht="9" customHeight="1" x14ac:dyDescent="0.2">
      <c r="A17" s="195"/>
      <c r="B17" s="195"/>
      <c r="C17" s="195"/>
    </row>
    <row r="18" spans="1:3" s="35" customFormat="1" ht="27.75" customHeight="1" x14ac:dyDescent="0.2">
      <c r="A18" s="219" t="s">
        <v>271</v>
      </c>
      <c r="B18" s="219"/>
      <c r="C18" s="219"/>
    </row>
    <row r="19" spans="1:3" s="35" customFormat="1" ht="9" customHeight="1" x14ac:dyDescent="0.2">
      <c r="A19" s="61"/>
      <c r="B19" s="61"/>
      <c r="C19" s="61"/>
    </row>
    <row r="20" spans="1:3" s="35" customFormat="1" ht="24.75" customHeight="1" x14ac:dyDescent="0.2">
      <c r="A20" s="92" t="s">
        <v>1</v>
      </c>
      <c r="B20" s="84" t="s">
        <v>55</v>
      </c>
      <c r="C20" s="83" t="s">
        <v>54</v>
      </c>
    </row>
    <row r="21" spans="1:3" s="35" customFormat="1" ht="16.5" customHeight="1" x14ac:dyDescent="0.2">
      <c r="A21" s="83">
        <v>1</v>
      </c>
      <c r="B21" s="84">
        <v>2</v>
      </c>
      <c r="C21" s="83">
        <v>3</v>
      </c>
    </row>
    <row r="22" spans="1:3" s="35" customFormat="1" ht="36" customHeight="1" x14ac:dyDescent="0.2">
      <c r="A22" s="3" t="s">
        <v>53</v>
      </c>
      <c r="B22" s="5" t="s">
        <v>275</v>
      </c>
      <c r="C22" s="4" t="s">
        <v>484</v>
      </c>
    </row>
    <row r="23" spans="1:3" ht="44.25" customHeight="1" x14ac:dyDescent="0.25">
      <c r="A23" s="3" t="s">
        <v>52</v>
      </c>
      <c r="B23" s="93" t="s">
        <v>49</v>
      </c>
      <c r="C23" s="4" t="s">
        <v>485</v>
      </c>
    </row>
    <row r="24" spans="1:3" ht="61.5" customHeight="1" x14ac:dyDescent="0.25">
      <c r="A24" s="3" t="s">
        <v>51</v>
      </c>
      <c r="B24" s="93" t="s">
        <v>281</v>
      </c>
      <c r="C24" s="92" t="s">
        <v>502</v>
      </c>
    </row>
    <row r="25" spans="1:3" ht="38.25" customHeight="1" x14ac:dyDescent="0.25">
      <c r="A25" s="3" t="s">
        <v>50</v>
      </c>
      <c r="B25" s="93" t="s">
        <v>282</v>
      </c>
      <c r="C25" s="4" t="s">
        <v>301</v>
      </c>
    </row>
    <row r="26" spans="1:3" ht="33" customHeight="1" x14ac:dyDescent="0.25">
      <c r="A26" s="3" t="s">
        <v>48</v>
      </c>
      <c r="B26" s="93" t="s">
        <v>166</v>
      </c>
      <c r="C26" s="92" t="s">
        <v>451</v>
      </c>
    </row>
    <row r="27" spans="1:3" ht="27" customHeight="1" x14ac:dyDescent="0.25">
      <c r="A27" s="3" t="s">
        <v>47</v>
      </c>
      <c r="B27" s="93" t="s">
        <v>276</v>
      </c>
      <c r="C27" s="92" t="s">
        <v>486</v>
      </c>
    </row>
    <row r="28" spans="1:3" ht="27.75" customHeight="1" x14ac:dyDescent="0.25">
      <c r="A28" s="3" t="s">
        <v>45</v>
      </c>
      <c r="B28" s="93" t="s">
        <v>46</v>
      </c>
      <c r="C28" s="53">
        <v>2025</v>
      </c>
    </row>
    <row r="29" spans="1:3" ht="22.5" customHeight="1" x14ac:dyDescent="0.25">
      <c r="A29" s="3" t="s">
        <v>43</v>
      </c>
      <c r="B29" s="92" t="s">
        <v>44</v>
      </c>
      <c r="C29" s="53">
        <v>2025</v>
      </c>
    </row>
    <row r="30" spans="1:3" ht="24.75" customHeight="1" x14ac:dyDescent="0.25">
      <c r="A30" s="3" t="s">
        <v>61</v>
      </c>
      <c r="B30" s="92" t="s">
        <v>42</v>
      </c>
      <c r="C30" s="65" t="s">
        <v>475</v>
      </c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4" sqref="A14:T14"/>
    </sheetView>
  </sheetViews>
  <sheetFormatPr defaultColWidth="9.140625"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0" t="s">
        <v>57</v>
      </c>
    </row>
    <row r="2" spans="1:28" ht="18.75" x14ac:dyDescent="0.3">
      <c r="Z2" s="21" t="s">
        <v>6</v>
      </c>
    </row>
    <row r="3" spans="1:28" ht="18.75" x14ac:dyDescent="0.3">
      <c r="Z3" s="21" t="s">
        <v>56</v>
      </c>
    </row>
    <row r="4" spans="1:28" s="2" customFormat="1" ht="15.75" x14ac:dyDescent="0.2">
      <c r="A4" s="186" t="str">
        <f>'1. паспорт местоположение'!$A$5</f>
        <v>Год раскрытия информации: 2025 год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8" s="2" customFormat="1" ht="15.75" x14ac:dyDescent="0.2">
      <c r="A5" s="22"/>
    </row>
    <row r="6" spans="1:28" s="2" customFormat="1" ht="18.75" x14ac:dyDescent="0.2">
      <c r="A6" s="190" t="s">
        <v>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</row>
    <row r="7" spans="1:28" s="2" customFormat="1" ht="18.75" x14ac:dyDescent="0.2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</row>
    <row r="8" spans="1:28" s="2" customFormat="1" ht="18.75" customHeight="1" x14ac:dyDescent="0.2">
      <c r="A8" s="191" t="s">
        <v>309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</row>
    <row r="9" spans="1:28" s="2" customFormat="1" ht="18.75" customHeight="1" x14ac:dyDescent="0.2">
      <c r="A9" s="192" t="s">
        <v>4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8" s="2" customFormat="1" ht="18.75" x14ac:dyDescent="0.2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28" s="2" customFormat="1" ht="18.75" customHeight="1" x14ac:dyDescent="0.2">
      <c r="A11" s="191" t="str">
        <f>'1. паспорт местоположение'!A12:C12</f>
        <v>P_Che491_25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</row>
    <row r="12" spans="1:28" s="2" customFormat="1" ht="18.75" customHeight="1" x14ac:dyDescent="0.2">
      <c r="A12" s="192" t="s">
        <v>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8" s="2" customFormat="1" ht="15.75" customHeight="1" x14ac:dyDescent="0.2">
      <c r="A13" s="195"/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</row>
    <row r="14" spans="1:28" s="35" customFormat="1" ht="37.5" customHeight="1" x14ac:dyDescent="0.2">
      <c r="A14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8" s="35" customFormat="1" ht="15" customHeight="1" x14ac:dyDescent="0.2">
      <c r="A15" s="192" t="s">
        <v>2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</row>
    <row r="16" spans="1:28" x14ac:dyDescent="0.25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43"/>
      <c r="AB16" s="43"/>
    </row>
    <row r="17" spans="1:28" x14ac:dyDescent="0.25">
      <c r="A17" s="221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43"/>
      <c r="AB17" s="43"/>
    </row>
    <row r="18" spans="1:28" x14ac:dyDescent="0.25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43"/>
      <c r="AB18" s="43"/>
    </row>
    <row r="19" spans="1:28" x14ac:dyDescent="0.25">
      <c r="A19" s="221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43"/>
      <c r="AB19" s="43"/>
    </row>
    <row r="20" spans="1:28" x14ac:dyDescent="0.25">
      <c r="A20" s="221"/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43"/>
      <c r="AB20" s="43"/>
    </row>
    <row r="21" spans="1:28" x14ac:dyDescent="0.25">
      <c r="A21" s="221"/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43"/>
      <c r="AB21" s="43"/>
    </row>
    <row r="22" spans="1:28" x14ac:dyDescent="0.25">
      <c r="A22" s="226" t="s">
        <v>373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44"/>
      <c r="AB22" s="44"/>
    </row>
    <row r="23" spans="1:28" ht="32.25" customHeight="1" x14ac:dyDescent="0.25">
      <c r="A23" s="222" t="s">
        <v>374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4"/>
      <c r="M23" s="225" t="s">
        <v>375</v>
      </c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</row>
    <row r="24" spans="1:28" ht="151.5" customHeight="1" x14ac:dyDescent="0.25">
      <c r="A24" s="85" t="s">
        <v>376</v>
      </c>
      <c r="B24" s="86" t="s">
        <v>377</v>
      </c>
      <c r="C24" s="85" t="s">
        <v>378</v>
      </c>
      <c r="D24" s="85" t="s">
        <v>379</v>
      </c>
      <c r="E24" s="85" t="s">
        <v>380</v>
      </c>
      <c r="F24" s="85" t="s">
        <v>400</v>
      </c>
      <c r="G24" s="85" t="s">
        <v>401</v>
      </c>
      <c r="H24" s="85" t="s">
        <v>381</v>
      </c>
      <c r="I24" s="85" t="s">
        <v>402</v>
      </c>
      <c r="J24" s="85" t="s">
        <v>382</v>
      </c>
      <c r="K24" s="86" t="s">
        <v>383</v>
      </c>
      <c r="L24" s="86" t="s">
        <v>384</v>
      </c>
      <c r="M24" s="87" t="s">
        <v>385</v>
      </c>
      <c r="N24" s="86" t="s">
        <v>403</v>
      </c>
      <c r="O24" s="85" t="s">
        <v>404</v>
      </c>
      <c r="P24" s="85" t="s">
        <v>405</v>
      </c>
      <c r="Q24" s="85" t="s">
        <v>406</v>
      </c>
      <c r="R24" s="85" t="s">
        <v>381</v>
      </c>
      <c r="S24" s="85" t="s">
        <v>407</v>
      </c>
      <c r="T24" s="85" t="s">
        <v>408</v>
      </c>
      <c r="U24" s="85" t="s">
        <v>409</v>
      </c>
      <c r="V24" s="85" t="s">
        <v>406</v>
      </c>
      <c r="W24" s="88" t="s">
        <v>410</v>
      </c>
      <c r="X24" s="88" t="s">
        <v>411</v>
      </c>
      <c r="Y24" s="88" t="s">
        <v>412</v>
      </c>
      <c r="Z24" s="45" t="s">
        <v>386</v>
      </c>
    </row>
    <row r="25" spans="1:28" ht="16.5" customHeight="1" x14ac:dyDescent="0.25">
      <c r="A25" s="85">
        <v>1</v>
      </c>
      <c r="B25" s="86">
        <v>2</v>
      </c>
      <c r="C25" s="85">
        <v>3</v>
      </c>
      <c r="D25" s="86">
        <v>4</v>
      </c>
      <c r="E25" s="85">
        <v>5</v>
      </c>
      <c r="F25" s="86">
        <v>6</v>
      </c>
      <c r="G25" s="85">
        <v>7</v>
      </c>
      <c r="H25" s="86">
        <v>8</v>
      </c>
      <c r="I25" s="85">
        <v>9</v>
      </c>
      <c r="J25" s="86">
        <v>10</v>
      </c>
      <c r="K25" s="85">
        <v>11</v>
      </c>
      <c r="L25" s="86">
        <v>12</v>
      </c>
      <c r="M25" s="85">
        <v>13</v>
      </c>
      <c r="N25" s="86">
        <v>14</v>
      </c>
      <c r="O25" s="85">
        <v>15</v>
      </c>
      <c r="P25" s="86">
        <v>16</v>
      </c>
      <c r="Q25" s="85">
        <v>17</v>
      </c>
      <c r="R25" s="86">
        <v>18</v>
      </c>
      <c r="S25" s="85">
        <v>19</v>
      </c>
      <c r="T25" s="86">
        <v>20</v>
      </c>
      <c r="U25" s="85">
        <v>21</v>
      </c>
      <c r="V25" s="86">
        <v>22</v>
      </c>
      <c r="W25" s="85">
        <v>23</v>
      </c>
      <c r="X25" s="86">
        <v>24</v>
      </c>
      <c r="Y25" s="85">
        <v>25</v>
      </c>
      <c r="Z25" s="86">
        <v>26</v>
      </c>
    </row>
    <row r="26" spans="1:28" ht="45.75" customHeight="1" x14ac:dyDescent="0.25">
      <c r="A26" s="11" t="s">
        <v>387</v>
      </c>
      <c r="B26" s="11"/>
      <c r="C26" s="46" t="s">
        <v>413</v>
      </c>
      <c r="D26" s="46" t="s">
        <v>414</v>
      </c>
      <c r="E26" s="46" t="s">
        <v>415</v>
      </c>
      <c r="F26" s="46" t="s">
        <v>416</v>
      </c>
      <c r="G26" s="46" t="s">
        <v>417</v>
      </c>
      <c r="H26" s="46" t="s">
        <v>381</v>
      </c>
      <c r="I26" s="46" t="s">
        <v>418</v>
      </c>
      <c r="J26" s="46" t="s">
        <v>419</v>
      </c>
      <c r="K26" s="89"/>
      <c r="L26" s="46" t="s">
        <v>388</v>
      </c>
      <c r="M26" s="47" t="s">
        <v>299</v>
      </c>
      <c r="N26" s="89" t="s">
        <v>301</v>
      </c>
      <c r="O26" s="89" t="s">
        <v>301</v>
      </c>
      <c r="P26" s="89" t="s">
        <v>301</v>
      </c>
      <c r="Q26" s="89" t="s">
        <v>301</v>
      </c>
      <c r="R26" s="89" t="s">
        <v>301</v>
      </c>
      <c r="S26" s="89" t="s">
        <v>301</v>
      </c>
      <c r="T26" s="89" t="s">
        <v>301</v>
      </c>
      <c r="U26" s="89" t="s">
        <v>301</v>
      </c>
      <c r="V26" s="89" t="s">
        <v>301</v>
      </c>
      <c r="W26" s="89" t="s">
        <v>301</v>
      </c>
      <c r="X26" s="89" t="s">
        <v>301</v>
      </c>
      <c r="Y26" s="89" t="s">
        <v>301</v>
      </c>
      <c r="Z26" s="90" t="s">
        <v>389</v>
      </c>
    </row>
    <row r="27" spans="1:28" x14ac:dyDescent="0.25">
      <c r="A27" s="89" t="s">
        <v>390</v>
      </c>
      <c r="B27" s="89" t="s">
        <v>391</v>
      </c>
      <c r="C27" s="89" t="s">
        <v>301</v>
      </c>
      <c r="D27" s="89" t="s">
        <v>301</v>
      </c>
      <c r="E27" s="89" t="s">
        <v>301</v>
      </c>
      <c r="F27" s="89" t="s">
        <v>301</v>
      </c>
      <c r="G27" s="89" t="s">
        <v>301</v>
      </c>
      <c r="H27" s="89" t="s">
        <v>301</v>
      </c>
      <c r="I27" s="89" t="s">
        <v>301</v>
      </c>
      <c r="J27" s="89" t="s">
        <v>301</v>
      </c>
      <c r="K27" s="46" t="s">
        <v>392</v>
      </c>
      <c r="L27" s="89" t="s">
        <v>301</v>
      </c>
      <c r="M27" s="46" t="s">
        <v>300</v>
      </c>
      <c r="N27" s="89" t="s">
        <v>301</v>
      </c>
      <c r="O27" s="89" t="s">
        <v>301</v>
      </c>
      <c r="P27" s="89" t="s">
        <v>301</v>
      </c>
      <c r="Q27" s="89" t="s">
        <v>301</v>
      </c>
      <c r="R27" s="89" t="s">
        <v>301</v>
      </c>
      <c r="S27" s="89" t="s">
        <v>301</v>
      </c>
      <c r="T27" s="89" t="s">
        <v>301</v>
      </c>
      <c r="U27" s="89" t="s">
        <v>301</v>
      </c>
      <c r="V27" s="89" t="s">
        <v>301</v>
      </c>
      <c r="W27" s="89" t="s">
        <v>301</v>
      </c>
      <c r="X27" s="89" t="s">
        <v>301</v>
      </c>
      <c r="Y27" s="89" t="s">
        <v>301</v>
      </c>
      <c r="Z27" s="89" t="s">
        <v>301</v>
      </c>
    </row>
    <row r="28" spans="1:28" x14ac:dyDescent="0.25">
      <c r="A28" s="89" t="s">
        <v>390</v>
      </c>
      <c r="B28" s="89" t="s">
        <v>393</v>
      </c>
      <c r="C28" s="89" t="s">
        <v>301</v>
      </c>
      <c r="D28" s="89" t="s">
        <v>301</v>
      </c>
      <c r="E28" s="89" t="s">
        <v>301</v>
      </c>
      <c r="F28" s="89" t="s">
        <v>301</v>
      </c>
      <c r="G28" s="89" t="s">
        <v>301</v>
      </c>
      <c r="H28" s="89" t="s">
        <v>301</v>
      </c>
      <c r="I28" s="89" t="s">
        <v>301</v>
      </c>
      <c r="J28" s="89" t="s">
        <v>301</v>
      </c>
      <c r="K28" s="46" t="s">
        <v>394</v>
      </c>
      <c r="L28" s="89" t="s">
        <v>301</v>
      </c>
      <c r="M28" s="46" t="s">
        <v>395</v>
      </c>
      <c r="N28" s="89" t="s">
        <v>301</v>
      </c>
      <c r="O28" s="89" t="s">
        <v>301</v>
      </c>
      <c r="P28" s="89" t="s">
        <v>301</v>
      </c>
      <c r="Q28" s="89" t="s">
        <v>301</v>
      </c>
      <c r="R28" s="89" t="s">
        <v>301</v>
      </c>
      <c r="S28" s="89" t="s">
        <v>301</v>
      </c>
      <c r="T28" s="89" t="s">
        <v>301</v>
      </c>
      <c r="U28" s="89" t="s">
        <v>301</v>
      </c>
      <c r="V28" s="89" t="s">
        <v>301</v>
      </c>
      <c r="W28" s="89" t="s">
        <v>301</v>
      </c>
      <c r="X28" s="89" t="s">
        <v>301</v>
      </c>
      <c r="Y28" s="89" t="s">
        <v>301</v>
      </c>
      <c r="Z28" s="89" t="s">
        <v>301</v>
      </c>
    </row>
    <row r="29" spans="1:28" x14ac:dyDescent="0.25">
      <c r="A29" s="89" t="s">
        <v>390</v>
      </c>
      <c r="B29" s="89" t="s">
        <v>396</v>
      </c>
      <c r="C29" s="89" t="s">
        <v>301</v>
      </c>
      <c r="D29" s="89" t="s">
        <v>301</v>
      </c>
      <c r="E29" s="89" t="s">
        <v>301</v>
      </c>
      <c r="F29" s="89" t="s">
        <v>301</v>
      </c>
      <c r="G29" s="89" t="s">
        <v>301</v>
      </c>
      <c r="H29" s="89" t="s">
        <v>301</v>
      </c>
      <c r="I29" s="89" t="s">
        <v>301</v>
      </c>
      <c r="J29" s="89" t="s">
        <v>301</v>
      </c>
      <c r="K29" s="46" t="s">
        <v>397</v>
      </c>
      <c r="L29" s="89" t="s">
        <v>301</v>
      </c>
      <c r="M29" s="89" t="s">
        <v>301</v>
      </c>
      <c r="N29" s="89" t="s">
        <v>301</v>
      </c>
      <c r="O29" s="89" t="s">
        <v>301</v>
      </c>
      <c r="P29" s="89" t="s">
        <v>301</v>
      </c>
      <c r="Q29" s="89" t="s">
        <v>301</v>
      </c>
      <c r="R29" s="89" t="s">
        <v>301</v>
      </c>
      <c r="S29" s="89" t="s">
        <v>301</v>
      </c>
      <c r="T29" s="89" t="s">
        <v>301</v>
      </c>
      <c r="U29" s="89" t="s">
        <v>301</v>
      </c>
      <c r="V29" s="89" t="s">
        <v>301</v>
      </c>
      <c r="W29" s="89" t="s">
        <v>301</v>
      </c>
      <c r="X29" s="89" t="s">
        <v>301</v>
      </c>
      <c r="Y29" s="89" t="s">
        <v>301</v>
      </c>
      <c r="Z29" s="89" t="s">
        <v>301</v>
      </c>
    </row>
    <row r="30" spans="1:28" x14ac:dyDescent="0.25">
      <c r="A30" s="89" t="s">
        <v>390</v>
      </c>
      <c r="B30" s="89" t="s">
        <v>398</v>
      </c>
      <c r="C30" s="89" t="s">
        <v>301</v>
      </c>
      <c r="D30" s="89" t="s">
        <v>301</v>
      </c>
      <c r="E30" s="89" t="s">
        <v>301</v>
      </c>
      <c r="F30" s="89" t="s">
        <v>301</v>
      </c>
      <c r="G30" s="89" t="s">
        <v>301</v>
      </c>
      <c r="H30" s="89" t="s">
        <v>301</v>
      </c>
      <c r="I30" s="89" t="s">
        <v>301</v>
      </c>
      <c r="J30" s="89" t="s">
        <v>301</v>
      </c>
      <c r="K30" s="46" t="s">
        <v>399</v>
      </c>
      <c r="L30" s="89" t="s">
        <v>301</v>
      </c>
      <c r="M30" s="89" t="s">
        <v>301</v>
      </c>
      <c r="N30" s="89" t="s">
        <v>301</v>
      </c>
      <c r="O30" s="89" t="s">
        <v>301</v>
      </c>
      <c r="P30" s="89" t="s">
        <v>301</v>
      </c>
      <c r="Q30" s="89" t="s">
        <v>301</v>
      </c>
      <c r="R30" s="89" t="s">
        <v>301</v>
      </c>
      <c r="S30" s="89" t="s">
        <v>301</v>
      </c>
      <c r="T30" s="89" t="s">
        <v>301</v>
      </c>
      <c r="U30" s="89" t="s">
        <v>301</v>
      </c>
      <c r="V30" s="89" t="s">
        <v>301</v>
      </c>
      <c r="W30" s="89" t="s">
        <v>301</v>
      </c>
      <c r="X30" s="89" t="s">
        <v>301</v>
      </c>
      <c r="Y30" s="89" t="s">
        <v>301</v>
      </c>
      <c r="Z30" s="89" t="s">
        <v>301</v>
      </c>
    </row>
    <row r="31" spans="1:28" x14ac:dyDescent="0.25">
      <c r="A31" s="89" t="s">
        <v>395</v>
      </c>
      <c r="B31" s="89" t="s">
        <v>395</v>
      </c>
      <c r="C31" s="89" t="s">
        <v>395</v>
      </c>
      <c r="D31" s="89" t="s">
        <v>395</v>
      </c>
      <c r="E31" s="89" t="s">
        <v>395</v>
      </c>
      <c r="F31" s="89" t="s">
        <v>395</v>
      </c>
      <c r="G31" s="89" t="s">
        <v>395</v>
      </c>
      <c r="H31" s="89" t="s">
        <v>395</v>
      </c>
      <c r="I31" s="89" t="s">
        <v>395</v>
      </c>
      <c r="J31" s="89" t="s">
        <v>395</v>
      </c>
      <c r="K31" s="89" t="s">
        <v>395</v>
      </c>
      <c r="L31" s="89" t="s">
        <v>301</v>
      </c>
      <c r="M31" s="89" t="s">
        <v>301</v>
      </c>
      <c r="N31" s="89" t="s">
        <v>301</v>
      </c>
      <c r="O31" s="89" t="s">
        <v>301</v>
      </c>
      <c r="P31" s="89" t="s">
        <v>301</v>
      </c>
      <c r="Q31" s="89" t="s">
        <v>301</v>
      </c>
      <c r="R31" s="89" t="s">
        <v>301</v>
      </c>
      <c r="S31" s="89" t="s">
        <v>301</v>
      </c>
      <c r="T31" s="89" t="s">
        <v>301</v>
      </c>
      <c r="U31" s="89" t="s">
        <v>301</v>
      </c>
      <c r="V31" s="89" t="s">
        <v>301</v>
      </c>
      <c r="W31" s="89" t="s">
        <v>301</v>
      </c>
      <c r="X31" s="89" t="s">
        <v>301</v>
      </c>
      <c r="Y31" s="89" t="s">
        <v>301</v>
      </c>
      <c r="Z31" s="89" t="s">
        <v>301</v>
      </c>
    </row>
    <row r="32" spans="1:28" ht="30" x14ac:dyDescent="0.25">
      <c r="A32" s="11" t="s">
        <v>387</v>
      </c>
      <c r="B32" s="11"/>
      <c r="C32" s="46" t="s">
        <v>420</v>
      </c>
      <c r="D32" s="46" t="s">
        <v>421</v>
      </c>
      <c r="E32" s="46" t="s">
        <v>422</v>
      </c>
      <c r="F32" s="46" t="s">
        <v>423</v>
      </c>
      <c r="G32" s="46" t="s">
        <v>424</v>
      </c>
      <c r="H32" s="46" t="s">
        <v>381</v>
      </c>
      <c r="I32" s="46" t="s">
        <v>425</v>
      </c>
      <c r="J32" s="46" t="s">
        <v>426</v>
      </c>
      <c r="K32" s="89"/>
      <c r="L32" s="89" t="s">
        <v>301</v>
      </c>
      <c r="M32" s="89" t="s">
        <v>301</v>
      </c>
      <c r="N32" s="89" t="s">
        <v>301</v>
      </c>
      <c r="O32" s="89" t="s">
        <v>301</v>
      </c>
      <c r="P32" s="89" t="s">
        <v>301</v>
      </c>
      <c r="Q32" s="89" t="s">
        <v>301</v>
      </c>
      <c r="R32" s="89" t="s">
        <v>301</v>
      </c>
      <c r="S32" s="89" t="s">
        <v>301</v>
      </c>
      <c r="T32" s="89" t="s">
        <v>301</v>
      </c>
      <c r="U32" s="89" t="s">
        <v>301</v>
      </c>
      <c r="V32" s="89" t="s">
        <v>301</v>
      </c>
      <c r="W32" s="89" t="s">
        <v>301</v>
      </c>
      <c r="X32" s="89" t="s">
        <v>301</v>
      </c>
      <c r="Y32" s="89" t="s">
        <v>301</v>
      </c>
      <c r="Z32" s="89" t="s">
        <v>301</v>
      </c>
    </row>
    <row r="33" spans="1:26" x14ac:dyDescent="0.25">
      <c r="A33" s="89" t="s">
        <v>395</v>
      </c>
      <c r="B33" s="89" t="s">
        <v>395</v>
      </c>
      <c r="C33" s="89" t="s">
        <v>395</v>
      </c>
      <c r="D33" s="89" t="s">
        <v>395</v>
      </c>
      <c r="E33" s="89" t="s">
        <v>395</v>
      </c>
      <c r="F33" s="89" t="s">
        <v>395</v>
      </c>
      <c r="G33" s="89" t="s">
        <v>395</v>
      </c>
      <c r="H33" s="89" t="s">
        <v>395</v>
      </c>
      <c r="I33" s="89" t="s">
        <v>395</v>
      </c>
      <c r="J33" s="89" t="s">
        <v>395</v>
      </c>
      <c r="K33" s="89" t="s">
        <v>395</v>
      </c>
      <c r="L33" s="89" t="s">
        <v>301</v>
      </c>
      <c r="M33" s="89" t="s">
        <v>301</v>
      </c>
      <c r="N33" s="89" t="s">
        <v>301</v>
      </c>
      <c r="O33" s="89" t="s">
        <v>301</v>
      </c>
      <c r="P33" s="89" t="s">
        <v>301</v>
      </c>
      <c r="Q33" s="89" t="s">
        <v>301</v>
      </c>
      <c r="R33" s="89" t="s">
        <v>301</v>
      </c>
      <c r="S33" s="89" t="s">
        <v>301</v>
      </c>
      <c r="T33" s="89" t="s">
        <v>301</v>
      </c>
      <c r="U33" s="89" t="s">
        <v>301</v>
      </c>
      <c r="V33" s="89" t="s">
        <v>301</v>
      </c>
      <c r="W33" s="89" t="s">
        <v>301</v>
      </c>
      <c r="X33" s="89" t="s">
        <v>301</v>
      </c>
      <c r="Y33" s="89" t="s">
        <v>301</v>
      </c>
      <c r="Z33" s="89" t="s">
        <v>301</v>
      </c>
    </row>
    <row r="37" spans="1:26" x14ac:dyDescent="0.25">
      <c r="A37" s="91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48" customWidth="1"/>
    <col min="2" max="2" width="25.5703125" style="48" customWidth="1"/>
    <col min="3" max="3" width="71.28515625" style="48" customWidth="1"/>
    <col min="4" max="4" width="16.140625" style="48" customWidth="1"/>
    <col min="5" max="5" width="9.42578125" style="48" customWidth="1"/>
    <col min="6" max="6" width="8.7109375" style="48" customWidth="1"/>
    <col min="7" max="7" width="9" style="48" customWidth="1"/>
    <col min="8" max="8" width="8.42578125" style="48" customWidth="1"/>
    <col min="9" max="9" width="8.7109375" style="48" customWidth="1"/>
    <col min="10" max="10" width="8.85546875" style="48" customWidth="1"/>
    <col min="11" max="11" width="9" style="48" customWidth="1"/>
    <col min="12" max="12" width="8.140625" style="48" customWidth="1"/>
    <col min="13" max="13" width="12" style="48" customWidth="1"/>
    <col min="14" max="14" width="10.5703125" style="48" customWidth="1"/>
    <col min="15" max="15" width="9.140625" style="48"/>
  </cols>
  <sheetData>
    <row r="1" spans="1:20" ht="18.75" x14ac:dyDescent="0.25">
      <c r="A1" s="19"/>
      <c r="B1" s="19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0" t="s">
        <v>57</v>
      </c>
    </row>
    <row r="2" spans="1:20" ht="18.75" x14ac:dyDescent="0.3">
      <c r="A2" s="19"/>
      <c r="B2" s="19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1" t="s">
        <v>6</v>
      </c>
    </row>
    <row r="3" spans="1:20" ht="18.75" x14ac:dyDescent="0.3">
      <c r="A3" s="22"/>
      <c r="B3" s="2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1" t="s">
        <v>56</v>
      </c>
    </row>
    <row r="4" spans="1:20" ht="18.75" x14ac:dyDescent="0.3">
      <c r="A4" s="22"/>
      <c r="B4" s="22"/>
      <c r="C4" s="2"/>
      <c r="D4" s="2"/>
      <c r="E4" s="2"/>
      <c r="F4" s="2"/>
      <c r="G4" s="2"/>
      <c r="H4" s="2"/>
      <c r="I4" s="2"/>
      <c r="J4" s="2"/>
      <c r="K4" s="2"/>
      <c r="L4" s="21"/>
      <c r="M4" s="2"/>
      <c r="N4" s="2"/>
      <c r="O4" s="2"/>
    </row>
    <row r="5" spans="1:20" s="2" customFormat="1" ht="18.75" customHeight="1" x14ac:dyDescent="0.3">
      <c r="A5" s="19"/>
      <c r="T5" s="21"/>
    </row>
    <row r="6" spans="1:20" s="2" customFormat="1" ht="15.75" x14ac:dyDescent="0.2">
      <c r="A6" s="186" t="str">
        <f>'1. паспорт местоположение'!$A$5</f>
        <v>Год раскрытия информации: 2025 год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</row>
    <row r="7" spans="1:20" s="2" customFormat="1" ht="15.75" x14ac:dyDescent="0.2">
      <c r="A7" s="22"/>
    </row>
    <row r="8" spans="1:20" s="2" customFormat="1" ht="18.75" x14ac:dyDescent="0.2">
      <c r="A8" s="190" t="s">
        <v>5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20" s="2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20" s="2" customFormat="1" ht="18.75" customHeight="1" x14ac:dyDescent="0.2">
      <c r="A10" s="191" t="s">
        <v>309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</row>
    <row r="11" spans="1:20" s="2" customFormat="1" ht="18.75" customHeight="1" x14ac:dyDescent="0.2">
      <c r="A11" s="192" t="s">
        <v>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0" s="2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20" s="2" customFormat="1" ht="18.75" customHeight="1" x14ac:dyDescent="0.2">
      <c r="A13" s="191" t="str">
        <f>'1. паспорт местоположение'!A12:C12</f>
        <v>P_Che491_25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</row>
    <row r="14" spans="1:20" s="2" customFormat="1" ht="18.75" customHeight="1" x14ac:dyDescent="0.2">
      <c r="A14" s="192" t="s">
        <v>3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</row>
    <row r="15" spans="1:20" s="2" customFormat="1" ht="15.75" customHeight="1" x14ac:dyDescent="0.2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</row>
    <row r="16" spans="1:20" s="35" customFormat="1" ht="15.75" x14ac:dyDescent="0.2">
      <c r="A16" s="191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</row>
    <row r="17" spans="1:20" s="35" customFormat="1" ht="15" customHeight="1" x14ac:dyDescent="0.2">
      <c r="A17" s="192" t="s">
        <v>2</v>
      </c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</row>
    <row r="18" spans="1:20" ht="96" customHeight="1" x14ac:dyDescent="0.25">
      <c r="A18" s="227" t="s">
        <v>427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</row>
    <row r="19" spans="1:20" ht="15.75" customHeight="1" x14ac:dyDescent="0.25">
      <c r="A19" s="196" t="s">
        <v>1</v>
      </c>
      <c r="B19" s="196" t="s">
        <v>428</v>
      </c>
      <c r="C19" s="196" t="s">
        <v>429</v>
      </c>
      <c r="D19" s="196" t="s">
        <v>430</v>
      </c>
      <c r="E19" s="228" t="s">
        <v>431</v>
      </c>
      <c r="F19" s="229"/>
      <c r="G19" s="229"/>
      <c r="H19" s="229"/>
      <c r="I19" s="230"/>
      <c r="J19" s="228" t="s">
        <v>432</v>
      </c>
      <c r="K19" s="229"/>
      <c r="L19" s="229"/>
      <c r="M19" s="229"/>
      <c r="N19" s="229"/>
      <c r="O19" s="230"/>
    </row>
    <row r="20" spans="1:20" ht="123" customHeight="1" x14ac:dyDescent="0.25">
      <c r="A20" s="196"/>
      <c r="B20" s="196"/>
      <c r="C20" s="196"/>
      <c r="D20" s="196"/>
      <c r="E20" s="80" t="s">
        <v>433</v>
      </c>
      <c r="F20" s="80" t="s">
        <v>434</v>
      </c>
      <c r="G20" s="80" t="s">
        <v>435</v>
      </c>
      <c r="H20" s="80" t="s">
        <v>436</v>
      </c>
      <c r="I20" s="80" t="s">
        <v>64</v>
      </c>
      <c r="J20" s="80" t="s">
        <v>437</v>
      </c>
      <c r="K20" s="80" t="s">
        <v>438</v>
      </c>
      <c r="L20" s="81" t="s">
        <v>439</v>
      </c>
      <c r="M20" s="82" t="s">
        <v>440</v>
      </c>
      <c r="N20" s="82" t="s">
        <v>441</v>
      </c>
      <c r="O20" s="82" t="s">
        <v>442</v>
      </c>
    </row>
    <row r="21" spans="1:20" ht="15.75" x14ac:dyDescent="0.25">
      <c r="A21" s="83">
        <v>1</v>
      </c>
      <c r="B21" s="84">
        <v>2</v>
      </c>
      <c r="C21" s="83">
        <v>3</v>
      </c>
      <c r="D21" s="84">
        <v>4</v>
      </c>
      <c r="E21" s="83">
        <v>5</v>
      </c>
      <c r="F21" s="84">
        <v>6</v>
      </c>
      <c r="G21" s="83">
        <v>7</v>
      </c>
      <c r="H21" s="84">
        <v>8</v>
      </c>
      <c r="I21" s="83">
        <v>9</v>
      </c>
      <c r="J21" s="84">
        <v>10</v>
      </c>
      <c r="K21" s="83">
        <v>11</v>
      </c>
      <c r="L21" s="84">
        <v>12</v>
      </c>
      <c r="M21" s="83">
        <v>13</v>
      </c>
      <c r="N21" s="84">
        <v>14</v>
      </c>
      <c r="O21" s="83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D32" sqref="D32"/>
    </sheetView>
  </sheetViews>
  <sheetFormatPr defaultColWidth="9.140625"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6" ht="18.75" x14ac:dyDescent="0.25">
      <c r="A1" s="19"/>
      <c r="B1" s="2"/>
      <c r="C1" s="2"/>
      <c r="D1" s="2"/>
      <c r="E1" s="2"/>
      <c r="F1" s="20" t="s">
        <v>57</v>
      </c>
    </row>
    <row r="2" spans="1:6" ht="18.75" x14ac:dyDescent="0.3">
      <c r="A2" s="19"/>
      <c r="B2" s="2"/>
      <c r="C2" s="2"/>
      <c r="D2" s="2"/>
      <c r="E2" s="2"/>
      <c r="F2" s="21" t="s">
        <v>6</v>
      </c>
    </row>
    <row r="3" spans="1:6" ht="18.75" x14ac:dyDescent="0.3">
      <c r="A3" s="22"/>
      <c r="B3" s="2"/>
      <c r="C3" s="2"/>
      <c r="D3" s="2"/>
      <c r="E3" s="2"/>
      <c r="F3" s="21" t="s">
        <v>56</v>
      </c>
    </row>
    <row r="4" spans="1:6" ht="15.75" x14ac:dyDescent="0.25">
      <c r="A4" s="22"/>
      <c r="B4" s="2"/>
      <c r="C4" s="2"/>
      <c r="D4" s="2"/>
      <c r="E4" s="2"/>
      <c r="F4" s="2"/>
    </row>
    <row r="5" spans="1:6" ht="15.75" x14ac:dyDescent="0.25">
      <c r="A5" s="186" t="str">
        <f>'1. паспорт местоположение'!$A$5</f>
        <v>Год раскрытия информации: 2025 год</v>
      </c>
      <c r="B5" s="186"/>
      <c r="C5" s="186"/>
      <c r="D5" s="186"/>
      <c r="E5" s="186"/>
      <c r="F5" s="186"/>
    </row>
    <row r="6" spans="1:6" ht="15.75" x14ac:dyDescent="0.25">
      <c r="A6" s="23"/>
      <c r="B6" s="24"/>
      <c r="C6" s="24"/>
      <c r="D6" s="24"/>
      <c r="E6" s="24"/>
      <c r="F6" s="24"/>
    </row>
    <row r="7" spans="1:6" ht="18.75" x14ac:dyDescent="0.25">
      <c r="A7" s="190" t="s">
        <v>5</v>
      </c>
      <c r="B7" s="190"/>
      <c r="C7" s="190"/>
      <c r="D7" s="190"/>
      <c r="E7" s="190"/>
      <c r="F7" s="190"/>
    </row>
    <row r="8" spans="1:6" ht="18.75" x14ac:dyDescent="0.25">
      <c r="A8" s="56"/>
      <c r="B8" s="56"/>
      <c r="C8" s="56"/>
      <c r="D8" s="56"/>
      <c r="E8" s="56"/>
      <c r="F8" s="56"/>
    </row>
    <row r="9" spans="1:6" ht="15.75" x14ac:dyDescent="0.25">
      <c r="A9" s="191" t="s">
        <v>287</v>
      </c>
      <c r="B9" s="191"/>
      <c r="C9" s="191"/>
      <c r="D9" s="191"/>
      <c r="E9" s="191"/>
      <c r="F9" s="191"/>
    </row>
    <row r="10" spans="1:6" ht="15.75" x14ac:dyDescent="0.25">
      <c r="A10" s="192" t="s">
        <v>4</v>
      </c>
      <c r="B10" s="192"/>
      <c r="C10" s="192"/>
      <c r="D10" s="192"/>
      <c r="E10" s="192"/>
      <c r="F10" s="192"/>
    </row>
    <row r="11" spans="1:6" ht="18.75" x14ac:dyDescent="0.25">
      <c r="A11" s="56"/>
      <c r="B11" s="56"/>
      <c r="C11" s="56"/>
      <c r="D11" s="56"/>
      <c r="E11" s="56"/>
      <c r="F11" s="56"/>
    </row>
    <row r="12" spans="1:6" ht="15.75" x14ac:dyDescent="0.25">
      <c r="A12" s="191" t="str">
        <f>'1. паспорт местоположение'!A12:C12</f>
        <v>P_Che491_25</v>
      </c>
      <c r="B12" s="191"/>
      <c r="C12" s="191"/>
      <c r="D12" s="191"/>
      <c r="E12" s="191"/>
      <c r="F12" s="191"/>
    </row>
    <row r="13" spans="1:6" ht="15.75" x14ac:dyDescent="0.25">
      <c r="A13" s="192" t="s">
        <v>3</v>
      </c>
      <c r="B13" s="192"/>
      <c r="C13" s="192"/>
      <c r="D13" s="192"/>
      <c r="E13" s="192"/>
      <c r="F13" s="192"/>
    </row>
    <row r="14" spans="1:6" ht="18.75" x14ac:dyDescent="0.25">
      <c r="A14" s="55"/>
      <c r="B14" s="55"/>
      <c r="C14" s="55"/>
      <c r="D14" s="55"/>
      <c r="E14" s="55"/>
      <c r="F14" s="55"/>
    </row>
    <row r="15" spans="1:6" ht="61.5" customHeight="1" x14ac:dyDescent="0.25">
      <c r="A15" s="202" t="str">
        <f>'1. паспорт местоположение'!A15:C15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202"/>
      <c r="C15" s="202"/>
      <c r="D15" s="202"/>
      <c r="E15" s="202"/>
      <c r="F15" s="202"/>
    </row>
    <row r="16" spans="1:6" ht="15.75" x14ac:dyDescent="0.25">
      <c r="A16" s="192" t="s">
        <v>2</v>
      </c>
      <c r="B16" s="192"/>
      <c r="C16" s="192"/>
      <c r="D16" s="192"/>
      <c r="E16" s="192"/>
      <c r="F16" s="192"/>
    </row>
    <row r="17" spans="1:6" ht="18.75" x14ac:dyDescent="0.25">
      <c r="A17" s="55"/>
      <c r="B17" s="55"/>
      <c r="C17" s="55"/>
      <c r="D17" s="55"/>
      <c r="E17" s="55"/>
      <c r="F17" s="55"/>
    </row>
    <row r="18" spans="1:6" ht="18.75" x14ac:dyDescent="0.25">
      <c r="A18" s="210" t="s">
        <v>291</v>
      </c>
      <c r="B18" s="210"/>
      <c r="C18" s="210"/>
      <c r="D18" s="210"/>
      <c r="E18" s="210"/>
      <c r="F18" s="210"/>
    </row>
    <row r="19" spans="1:6" x14ac:dyDescent="0.25">
      <c r="A19" s="25"/>
      <c r="B19" s="25"/>
      <c r="C19" s="25"/>
      <c r="D19" s="25"/>
      <c r="E19" s="25"/>
      <c r="F19" s="25"/>
    </row>
    <row r="20" spans="1:6" ht="15.75" thickBot="1" x14ac:dyDescent="0.3">
      <c r="A20" s="25"/>
      <c r="B20" s="25"/>
      <c r="C20" s="25"/>
      <c r="D20" s="25"/>
      <c r="E20" s="25"/>
      <c r="F20" s="25"/>
    </row>
    <row r="21" spans="1:6" ht="15.75" x14ac:dyDescent="0.25">
      <c r="A21" s="25"/>
      <c r="B21" s="234" t="s">
        <v>292</v>
      </c>
      <c r="C21" s="235"/>
      <c r="D21" s="235"/>
      <c r="E21" s="236"/>
      <c r="F21" s="25"/>
    </row>
    <row r="22" spans="1:6" ht="15.75" x14ac:dyDescent="0.25">
      <c r="A22" s="25"/>
      <c r="B22" s="231" t="s">
        <v>293</v>
      </c>
      <c r="C22" s="232"/>
      <c r="D22" s="232" t="s">
        <v>294</v>
      </c>
      <c r="E22" s="233"/>
      <c r="F22" s="25"/>
    </row>
    <row r="23" spans="1:6" ht="63" x14ac:dyDescent="0.25">
      <c r="A23" s="25"/>
      <c r="B23" s="130" t="s">
        <v>295</v>
      </c>
      <c r="C23" s="131" t="s">
        <v>464</v>
      </c>
      <c r="D23" s="131" t="s">
        <v>296</v>
      </c>
      <c r="E23" s="132" t="s">
        <v>297</v>
      </c>
      <c r="F23" s="25"/>
    </row>
    <row r="24" spans="1:6" ht="16.5" thickBot="1" x14ac:dyDescent="0.3">
      <c r="A24" s="25"/>
      <c r="B24" s="134">
        <v>-0.6</v>
      </c>
      <c r="C24" s="135">
        <v>0.15</v>
      </c>
      <c r="D24" s="136">
        <v>14</v>
      </c>
      <c r="E24" s="137" t="s">
        <v>298</v>
      </c>
      <c r="F24" s="25"/>
    </row>
    <row r="25" spans="1:6" x14ac:dyDescent="0.25">
      <c r="A25" s="25"/>
      <c r="B25" s="25"/>
      <c r="C25" s="25"/>
      <c r="D25" s="25"/>
      <c r="E25" s="25"/>
      <c r="F25" s="25"/>
    </row>
    <row r="26" spans="1:6" x14ac:dyDescent="0.25">
      <c r="A26" s="25"/>
      <c r="B26" s="25"/>
      <c r="C26" s="25"/>
      <c r="D26" s="25"/>
      <c r="E26" s="25"/>
      <c r="F26" s="25"/>
    </row>
    <row r="27" spans="1:6" x14ac:dyDescent="0.25">
      <c r="A27" s="25"/>
      <c r="B27" s="25"/>
      <c r="C27" s="25"/>
      <c r="D27" s="25"/>
      <c r="E27" s="25"/>
      <c r="F27" s="25"/>
    </row>
    <row r="28" spans="1:6" x14ac:dyDescent="0.25">
      <c r="A28" s="25"/>
      <c r="B28" s="25"/>
      <c r="C28" s="25"/>
      <c r="D28" s="25"/>
      <c r="E28" s="25"/>
      <c r="F28" s="25"/>
    </row>
    <row r="29" spans="1:6" x14ac:dyDescent="0.25">
      <c r="A29" s="25"/>
      <c r="B29" s="25"/>
      <c r="C29" s="25"/>
      <c r="D29" s="25"/>
      <c r="E29" s="25"/>
      <c r="F29" s="25"/>
    </row>
    <row r="30" spans="1:6" x14ac:dyDescent="0.25">
      <c r="A30" s="25"/>
      <c r="B30" s="25"/>
      <c r="C30" s="25"/>
      <c r="D30" s="25"/>
      <c r="E30" s="25"/>
      <c r="F30" s="25"/>
    </row>
    <row r="31" spans="1:6" x14ac:dyDescent="0.25">
      <c r="A31" s="25"/>
      <c r="B31" s="25"/>
      <c r="C31" s="25"/>
      <c r="D31" s="25"/>
      <c r="E31" s="25"/>
      <c r="F31" s="25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B1" zoomScale="80" zoomScaleNormal="100" zoomScaleSheetLayoutView="80" workbookViewId="0">
      <selection activeCell="K59" sqref="K59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3" width="15" style="7" customWidth="1"/>
    <col min="4" max="4" width="15.140625" style="7" customWidth="1"/>
    <col min="5" max="6" width="0" style="7" hidden="1" customWidth="1"/>
    <col min="7" max="7" width="17.7109375" style="7" customWidth="1"/>
    <col min="8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0" t="s">
        <v>57</v>
      </c>
    </row>
    <row r="2" spans="1:44" ht="18.75" x14ac:dyDescent="0.3">
      <c r="L2" s="21" t="s">
        <v>6</v>
      </c>
    </row>
    <row r="3" spans="1:44" ht="18.75" x14ac:dyDescent="0.3">
      <c r="L3" s="21" t="s">
        <v>56</v>
      </c>
    </row>
    <row r="4" spans="1:44" ht="18.75" x14ac:dyDescent="0.3">
      <c r="K4" s="21"/>
    </row>
    <row r="5" spans="1:44" x14ac:dyDescent="0.25">
      <c r="A5" s="186" t="str">
        <f>'1. паспорт местоположение'!$A$5</f>
        <v>Год раскрытия информации: 2025 год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</row>
    <row r="6" spans="1:44" ht="18.75" x14ac:dyDescent="0.3">
      <c r="K6" s="21"/>
    </row>
    <row r="7" spans="1:44" ht="18.75" x14ac:dyDescent="0.25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4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4" x14ac:dyDescent="0.25">
      <c r="A9" s="191" t="str">
        <f>'3.3 паспорт описание'!A9:C9</f>
        <v>АО "Чеченэнерго"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44" x14ac:dyDescent="0.25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44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</row>
    <row r="12" spans="1:44" x14ac:dyDescent="0.25">
      <c r="A12" s="191" t="str">
        <f>'3.3 паспорт описание'!A12:C12</f>
        <v>P_Che491_25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</row>
    <row r="13" spans="1:44" x14ac:dyDescent="0.25">
      <c r="A13" s="192" t="s">
        <v>3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44" x14ac:dyDescent="0.25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44" ht="90" customHeight="1" x14ac:dyDescent="0.25">
      <c r="A15" s="202" t="str">
        <f>'3.3 паспорт описание'!A15:C15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</row>
    <row r="16" spans="1:44" x14ac:dyDescent="0.25">
      <c r="A16" s="192" t="s">
        <v>2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15.75" customHeight="1" x14ac:dyDescent="0.25">
      <c r="L17" s="58"/>
    </row>
    <row r="18" spans="1:12" x14ac:dyDescent="0.25">
      <c r="K18" s="6"/>
    </row>
    <row r="19" spans="1:12" ht="15.75" customHeight="1" x14ac:dyDescent="0.25">
      <c r="A19" s="245" t="s">
        <v>273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</row>
    <row r="20" spans="1:12" x14ac:dyDescent="0.25">
      <c r="A20" s="59"/>
      <c r="B20" s="59"/>
    </row>
    <row r="21" spans="1:12" ht="28.5" customHeight="1" x14ac:dyDescent="0.25">
      <c r="A21" s="237" t="s">
        <v>158</v>
      </c>
      <c r="B21" s="237" t="s">
        <v>157</v>
      </c>
      <c r="C21" s="240" t="s">
        <v>219</v>
      </c>
      <c r="D21" s="241"/>
      <c r="E21" s="241"/>
      <c r="F21" s="241"/>
      <c r="G21" s="241"/>
      <c r="H21" s="242"/>
      <c r="I21" s="237" t="s">
        <v>156</v>
      </c>
      <c r="J21" s="237" t="s">
        <v>221</v>
      </c>
      <c r="K21" s="237" t="s">
        <v>155</v>
      </c>
      <c r="L21" s="246" t="s">
        <v>220</v>
      </c>
    </row>
    <row r="22" spans="1:12" ht="58.5" customHeight="1" x14ac:dyDescent="0.25">
      <c r="A22" s="238"/>
      <c r="B22" s="238"/>
      <c r="C22" s="243" t="s">
        <v>0</v>
      </c>
      <c r="D22" s="244"/>
      <c r="E22" s="13"/>
      <c r="F22" s="14"/>
      <c r="G22" s="243" t="str">
        <f>'6.2. Паспорт фин осв ввод'!D22</f>
        <v>Предложение по корректировке плана</v>
      </c>
      <c r="H22" s="244"/>
      <c r="I22" s="238"/>
      <c r="J22" s="238"/>
      <c r="K22" s="238"/>
      <c r="L22" s="247"/>
    </row>
    <row r="23" spans="1:12" ht="34.5" customHeight="1" x14ac:dyDescent="0.25">
      <c r="A23" s="239"/>
      <c r="B23" s="239"/>
      <c r="C23" s="10" t="s">
        <v>154</v>
      </c>
      <c r="D23" s="10" t="s">
        <v>153</v>
      </c>
      <c r="E23" s="10" t="s">
        <v>154</v>
      </c>
      <c r="F23" s="10" t="s">
        <v>153</v>
      </c>
      <c r="G23" s="10" t="s">
        <v>154</v>
      </c>
      <c r="H23" s="10" t="s">
        <v>153</v>
      </c>
      <c r="I23" s="239"/>
      <c r="J23" s="239"/>
      <c r="K23" s="239"/>
      <c r="L23" s="248"/>
    </row>
    <row r="24" spans="1:12" x14ac:dyDescent="0.25">
      <c r="A24" s="108">
        <v>1</v>
      </c>
      <c r="B24" s="108">
        <v>2</v>
      </c>
      <c r="C24" s="10">
        <v>3</v>
      </c>
      <c r="D24" s="10">
        <v>4</v>
      </c>
      <c r="E24" s="10">
        <v>5</v>
      </c>
      <c r="F24" s="10">
        <v>6</v>
      </c>
      <c r="G24" s="10">
        <v>7</v>
      </c>
      <c r="H24" s="10">
        <v>8</v>
      </c>
      <c r="I24" s="10">
        <v>9</v>
      </c>
      <c r="J24" s="10">
        <v>10</v>
      </c>
      <c r="K24" s="10">
        <v>11</v>
      </c>
      <c r="L24" s="10">
        <v>12</v>
      </c>
    </row>
    <row r="25" spans="1:12" s="30" customFormat="1" ht="31.5" x14ac:dyDescent="0.25">
      <c r="A25" s="108">
        <v>1</v>
      </c>
      <c r="B25" s="78" t="s">
        <v>152</v>
      </c>
      <c r="C25" s="28"/>
      <c r="D25" s="28"/>
      <c r="E25" s="28"/>
      <c r="F25" s="28"/>
      <c r="G25" s="28"/>
      <c r="H25" s="28"/>
      <c r="I25" s="28"/>
      <c r="J25" s="28"/>
      <c r="K25" s="4"/>
      <c r="L25" s="29"/>
    </row>
    <row r="26" spans="1:12" s="30" customFormat="1" ht="21.75" customHeight="1" x14ac:dyDescent="0.25">
      <c r="A26" s="108" t="s">
        <v>151</v>
      </c>
      <c r="B26" s="4" t="s">
        <v>226</v>
      </c>
      <c r="C26" s="121" t="s">
        <v>301</v>
      </c>
      <c r="D26" s="121" t="s">
        <v>301</v>
      </c>
      <c r="E26" s="31" t="s">
        <v>288</v>
      </c>
      <c r="F26" s="31" t="s">
        <v>288</v>
      </c>
      <c r="G26" s="121">
        <v>45654</v>
      </c>
      <c r="H26" s="121">
        <v>45654</v>
      </c>
      <c r="I26" s="32">
        <v>1</v>
      </c>
      <c r="J26" s="32">
        <v>1</v>
      </c>
      <c r="K26" s="32" t="s">
        <v>301</v>
      </c>
      <c r="L26" s="32" t="s">
        <v>301</v>
      </c>
    </row>
    <row r="27" spans="1:12" s="30" customFormat="1" ht="39" customHeight="1" x14ac:dyDescent="0.25">
      <c r="A27" s="108" t="s">
        <v>150</v>
      </c>
      <c r="B27" s="4" t="s">
        <v>228</v>
      </c>
      <c r="C27" s="121" t="s">
        <v>301</v>
      </c>
      <c r="D27" s="121" t="s">
        <v>301</v>
      </c>
      <c r="E27" s="31" t="s">
        <v>288</v>
      </c>
      <c r="F27" s="31" t="s">
        <v>288</v>
      </c>
      <c r="G27" s="121" t="s">
        <v>301</v>
      </c>
      <c r="H27" s="121" t="s">
        <v>301</v>
      </c>
      <c r="I27" s="32" t="s">
        <v>301</v>
      </c>
      <c r="J27" s="32" t="s">
        <v>301</v>
      </c>
      <c r="K27" s="32" t="s">
        <v>301</v>
      </c>
      <c r="L27" s="32" t="s">
        <v>301</v>
      </c>
    </row>
    <row r="28" spans="1:12" s="30" customFormat="1" ht="52.5" customHeight="1" x14ac:dyDescent="0.25">
      <c r="A28" s="108" t="s">
        <v>227</v>
      </c>
      <c r="B28" s="4" t="s">
        <v>232</v>
      </c>
      <c r="C28" s="121" t="s">
        <v>288</v>
      </c>
      <c r="D28" s="121" t="s">
        <v>288</v>
      </c>
      <c r="E28" s="31" t="s">
        <v>288</v>
      </c>
      <c r="F28" s="31" t="s">
        <v>288</v>
      </c>
      <c r="G28" s="121" t="s">
        <v>288</v>
      </c>
      <c r="H28" s="121" t="s">
        <v>288</v>
      </c>
      <c r="I28" s="32" t="s">
        <v>301</v>
      </c>
      <c r="J28" s="32" t="s">
        <v>301</v>
      </c>
      <c r="K28" s="32" t="s">
        <v>301</v>
      </c>
      <c r="L28" s="32" t="s">
        <v>301</v>
      </c>
    </row>
    <row r="29" spans="1:12" s="30" customFormat="1" ht="36.75" customHeight="1" x14ac:dyDescent="0.25">
      <c r="A29" s="108" t="s">
        <v>149</v>
      </c>
      <c r="B29" s="4" t="s">
        <v>231</v>
      </c>
      <c r="C29" s="121" t="s">
        <v>288</v>
      </c>
      <c r="D29" s="121" t="s">
        <v>288</v>
      </c>
      <c r="E29" s="31" t="s">
        <v>288</v>
      </c>
      <c r="F29" s="31" t="s">
        <v>288</v>
      </c>
      <c r="G29" s="121" t="s">
        <v>288</v>
      </c>
      <c r="H29" s="121" t="s">
        <v>288</v>
      </c>
      <c r="I29" s="32" t="s">
        <v>301</v>
      </c>
      <c r="J29" s="32" t="s">
        <v>301</v>
      </c>
      <c r="K29" s="32" t="s">
        <v>301</v>
      </c>
      <c r="L29" s="32" t="s">
        <v>301</v>
      </c>
    </row>
    <row r="30" spans="1:12" s="30" customFormat="1" ht="39" customHeight="1" x14ac:dyDescent="0.25">
      <c r="A30" s="108" t="s">
        <v>148</v>
      </c>
      <c r="B30" s="4" t="s">
        <v>233</v>
      </c>
      <c r="C30" s="121" t="s">
        <v>288</v>
      </c>
      <c r="D30" s="121" t="s">
        <v>288</v>
      </c>
      <c r="E30" s="28"/>
      <c r="F30" s="28"/>
      <c r="G30" s="121" t="s">
        <v>288</v>
      </c>
      <c r="H30" s="121" t="s">
        <v>288</v>
      </c>
      <c r="I30" s="32" t="s">
        <v>301</v>
      </c>
      <c r="J30" s="32" t="s">
        <v>301</v>
      </c>
      <c r="K30" s="32" t="s">
        <v>301</v>
      </c>
      <c r="L30" s="32" t="s">
        <v>301</v>
      </c>
    </row>
    <row r="31" spans="1:12" s="30" customFormat="1" ht="36.75" customHeight="1" x14ac:dyDescent="0.25">
      <c r="A31" s="108" t="s">
        <v>147</v>
      </c>
      <c r="B31" s="79" t="s">
        <v>229</v>
      </c>
      <c r="C31" s="121" t="s">
        <v>301</v>
      </c>
      <c r="D31" s="121" t="s">
        <v>301</v>
      </c>
      <c r="E31" s="28"/>
      <c r="F31" s="28"/>
      <c r="G31" s="121">
        <v>45881</v>
      </c>
      <c r="H31" s="121">
        <v>45881</v>
      </c>
      <c r="I31" s="32">
        <v>1</v>
      </c>
      <c r="J31" s="32">
        <v>1</v>
      </c>
      <c r="K31" s="32" t="s">
        <v>301</v>
      </c>
      <c r="L31" s="32" t="s">
        <v>301</v>
      </c>
    </row>
    <row r="32" spans="1:12" s="30" customFormat="1" ht="31.5" x14ac:dyDescent="0.25">
      <c r="A32" s="108" t="s">
        <v>145</v>
      </c>
      <c r="B32" s="79" t="s">
        <v>234</v>
      </c>
      <c r="C32" s="121" t="s">
        <v>301</v>
      </c>
      <c r="D32" s="121" t="s">
        <v>301</v>
      </c>
      <c r="E32" s="28"/>
      <c r="F32" s="28"/>
      <c r="G32" s="121" t="s">
        <v>492</v>
      </c>
      <c r="H32" s="121" t="s">
        <v>492</v>
      </c>
      <c r="I32" s="32">
        <v>1</v>
      </c>
      <c r="J32" s="32">
        <v>1</v>
      </c>
      <c r="K32" s="32" t="s">
        <v>301</v>
      </c>
      <c r="L32" s="32" t="s">
        <v>301</v>
      </c>
    </row>
    <row r="33" spans="1:12" s="30" customFormat="1" ht="49.5" customHeight="1" x14ac:dyDescent="0.25">
      <c r="A33" s="108" t="s">
        <v>245</v>
      </c>
      <c r="B33" s="79" t="s">
        <v>172</v>
      </c>
      <c r="C33" s="113" t="s">
        <v>301</v>
      </c>
      <c r="D33" s="113" t="s">
        <v>301</v>
      </c>
      <c r="E33" s="28"/>
      <c r="F33" s="28"/>
      <c r="G33" s="179">
        <v>45912</v>
      </c>
      <c r="H33" s="179">
        <v>45912</v>
      </c>
      <c r="I33" s="32">
        <v>1</v>
      </c>
      <c r="J33" s="32">
        <v>1</v>
      </c>
      <c r="K33" s="32" t="s">
        <v>301</v>
      </c>
      <c r="L33" s="32" t="s">
        <v>301</v>
      </c>
    </row>
    <row r="34" spans="1:12" s="30" customFormat="1" ht="47.25" customHeight="1" x14ac:dyDescent="0.25">
      <c r="A34" s="108" t="s">
        <v>246</v>
      </c>
      <c r="B34" s="79" t="s">
        <v>238</v>
      </c>
      <c r="C34" s="121" t="s">
        <v>288</v>
      </c>
      <c r="D34" s="121" t="s">
        <v>288</v>
      </c>
      <c r="E34" s="121" t="s">
        <v>288</v>
      </c>
      <c r="F34" s="121" t="s">
        <v>288</v>
      </c>
      <c r="G34" s="121" t="s">
        <v>288</v>
      </c>
      <c r="H34" s="121" t="s">
        <v>288</v>
      </c>
      <c r="I34" s="32" t="s">
        <v>301</v>
      </c>
      <c r="J34" s="32" t="s">
        <v>301</v>
      </c>
      <c r="K34" s="32" t="s">
        <v>301</v>
      </c>
      <c r="L34" s="32" t="s">
        <v>301</v>
      </c>
    </row>
    <row r="35" spans="1:12" s="30" customFormat="1" ht="37.5" customHeight="1" x14ac:dyDescent="0.25">
      <c r="A35" s="108" t="s">
        <v>247</v>
      </c>
      <c r="B35" s="79" t="s">
        <v>146</v>
      </c>
      <c r="C35" s="121" t="s">
        <v>301</v>
      </c>
      <c r="D35" s="121" t="s">
        <v>301</v>
      </c>
      <c r="E35" s="33"/>
      <c r="F35" s="33"/>
      <c r="G35" s="178">
        <v>45912</v>
      </c>
      <c r="H35" s="178">
        <v>45912</v>
      </c>
      <c r="I35" s="32">
        <v>1</v>
      </c>
      <c r="J35" s="32">
        <v>1</v>
      </c>
      <c r="K35" s="32" t="s">
        <v>301</v>
      </c>
      <c r="L35" s="32" t="s">
        <v>301</v>
      </c>
    </row>
    <row r="36" spans="1:12" s="30" customFormat="1" ht="37.5" customHeight="1" x14ac:dyDescent="0.25">
      <c r="A36" s="108" t="s">
        <v>248</v>
      </c>
      <c r="B36" s="79" t="s">
        <v>230</v>
      </c>
      <c r="C36" s="121" t="s">
        <v>288</v>
      </c>
      <c r="D36" s="121" t="s">
        <v>288</v>
      </c>
      <c r="E36" s="121" t="s">
        <v>288</v>
      </c>
      <c r="F36" s="121" t="s">
        <v>288</v>
      </c>
      <c r="G36" s="121" t="s">
        <v>288</v>
      </c>
      <c r="H36" s="121" t="s">
        <v>288</v>
      </c>
      <c r="I36" s="32" t="s">
        <v>301</v>
      </c>
      <c r="J36" s="32" t="s">
        <v>301</v>
      </c>
      <c r="K36" s="32" t="s">
        <v>301</v>
      </c>
      <c r="L36" s="32" t="s">
        <v>301</v>
      </c>
    </row>
    <row r="37" spans="1:12" s="30" customFormat="1" ht="27" customHeight="1" x14ac:dyDescent="0.25">
      <c r="A37" s="108" t="s">
        <v>249</v>
      </c>
      <c r="B37" s="79" t="s">
        <v>144</v>
      </c>
      <c r="C37" s="112" t="s">
        <v>301</v>
      </c>
      <c r="D37" s="112" t="s">
        <v>301</v>
      </c>
      <c r="E37" s="34"/>
      <c r="F37" s="33"/>
      <c r="G37" s="178">
        <v>45912</v>
      </c>
      <c r="H37" s="178">
        <v>45912</v>
      </c>
      <c r="I37" s="32">
        <v>1</v>
      </c>
      <c r="J37" s="32">
        <v>1</v>
      </c>
      <c r="K37" s="32" t="s">
        <v>301</v>
      </c>
      <c r="L37" s="32" t="s">
        <v>301</v>
      </c>
    </row>
    <row r="38" spans="1:12" s="30" customFormat="1" ht="30.75" customHeight="1" x14ac:dyDescent="0.25">
      <c r="A38" s="108" t="s">
        <v>250</v>
      </c>
      <c r="B38" s="78" t="s">
        <v>143</v>
      </c>
      <c r="C38" s="121"/>
      <c r="D38" s="121"/>
      <c r="E38" s="4"/>
      <c r="F38" s="4"/>
      <c r="G38" s="150"/>
      <c r="H38" s="150"/>
      <c r="I38" s="32"/>
      <c r="J38" s="32"/>
      <c r="K38" s="4"/>
      <c r="L38" s="4"/>
    </row>
    <row r="39" spans="1:12" s="30" customFormat="1" ht="78.75" x14ac:dyDescent="0.25">
      <c r="A39" s="108">
        <v>2</v>
      </c>
      <c r="B39" s="79" t="s">
        <v>235</v>
      </c>
      <c r="C39" s="113" t="s">
        <v>301</v>
      </c>
      <c r="D39" s="113" t="s">
        <v>301</v>
      </c>
      <c r="E39" s="4"/>
      <c r="F39" s="4"/>
      <c r="G39" s="113"/>
      <c r="H39" s="113"/>
      <c r="I39" s="32">
        <v>0</v>
      </c>
      <c r="J39" s="32">
        <v>0</v>
      </c>
      <c r="K39" s="32" t="s">
        <v>301</v>
      </c>
      <c r="L39" s="32" t="s">
        <v>301</v>
      </c>
    </row>
    <row r="40" spans="1:12" s="30" customFormat="1" ht="33.75" customHeight="1" x14ac:dyDescent="0.25">
      <c r="A40" s="108" t="s">
        <v>142</v>
      </c>
      <c r="B40" s="79" t="s">
        <v>237</v>
      </c>
      <c r="C40" s="113" t="s">
        <v>301</v>
      </c>
      <c r="D40" s="113" t="s">
        <v>301</v>
      </c>
      <c r="E40" s="4"/>
      <c r="F40" s="4"/>
      <c r="G40" s="150"/>
      <c r="H40" s="150"/>
      <c r="I40" s="32">
        <v>0</v>
      </c>
      <c r="J40" s="32">
        <v>0</v>
      </c>
      <c r="K40" s="32" t="s">
        <v>301</v>
      </c>
      <c r="L40" s="32" t="s">
        <v>301</v>
      </c>
    </row>
    <row r="41" spans="1:12" s="30" customFormat="1" ht="54" customHeight="1" x14ac:dyDescent="0.25">
      <c r="A41" s="108" t="s">
        <v>141</v>
      </c>
      <c r="B41" s="78" t="s">
        <v>286</v>
      </c>
      <c r="C41" s="121"/>
      <c r="D41" s="121"/>
      <c r="E41" s="4"/>
      <c r="F41" s="4"/>
      <c r="G41" s="150"/>
      <c r="H41" s="150"/>
      <c r="I41" s="32"/>
      <c r="J41" s="32"/>
      <c r="K41" s="4"/>
      <c r="L41" s="4"/>
    </row>
    <row r="42" spans="1:12" s="30" customFormat="1" ht="34.5" customHeight="1" x14ac:dyDescent="0.25">
      <c r="A42" s="108">
        <v>3</v>
      </c>
      <c r="B42" s="79" t="s">
        <v>236</v>
      </c>
      <c r="C42" s="113" t="s">
        <v>301</v>
      </c>
      <c r="D42" s="113" t="s">
        <v>301</v>
      </c>
      <c r="E42" s="4"/>
      <c r="F42" s="4"/>
      <c r="G42" s="113"/>
      <c r="H42" s="113"/>
      <c r="I42" s="32">
        <v>0</v>
      </c>
      <c r="J42" s="32">
        <v>0</v>
      </c>
      <c r="K42" s="32" t="s">
        <v>301</v>
      </c>
      <c r="L42" s="32" t="s">
        <v>301</v>
      </c>
    </row>
    <row r="43" spans="1:12" s="30" customFormat="1" ht="34.5" customHeight="1" x14ac:dyDescent="0.25">
      <c r="A43" s="108" t="s">
        <v>140</v>
      </c>
      <c r="B43" s="79" t="s">
        <v>138</v>
      </c>
      <c r="C43" s="113" t="s">
        <v>301</v>
      </c>
      <c r="D43" s="113" t="s">
        <v>301</v>
      </c>
      <c r="E43" s="4"/>
      <c r="F43" s="4"/>
      <c r="G43" s="113"/>
      <c r="H43" s="113"/>
      <c r="I43" s="32">
        <v>0</v>
      </c>
      <c r="J43" s="32">
        <v>0</v>
      </c>
      <c r="K43" s="32" t="s">
        <v>301</v>
      </c>
      <c r="L43" s="32" t="s">
        <v>301</v>
      </c>
    </row>
    <row r="44" spans="1:12" s="30" customFormat="1" ht="24.75" customHeight="1" x14ac:dyDescent="0.25">
      <c r="A44" s="108" t="s">
        <v>139</v>
      </c>
      <c r="B44" s="79" t="s">
        <v>136</v>
      </c>
      <c r="C44" s="113" t="s">
        <v>301</v>
      </c>
      <c r="D44" s="113" t="s">
        <v>301</v>
      </c>
      <c r="E44" s="4"/>
      <c r="F44" s="4"/>
      <c r="G44" s="113"/>
      <c r="H44" s="113"/>
      <c r="I44" s="32">
        <v>0</v>
      </c>
      <c r="J44" s="32">
        <v>0</v>
      </c>
      <c r="K44" s="32" t="s">
        <v>301</v>
      </c>
      <c r="L44" s="32" t="s">
        <v>301</v>
      </c>
    </row>
    <row r="45" spans="1:12" s="30" customFormat="1" ht="84.75" customHeight="1" x14ac:dyDescent="0.25">
      <c r="A45" s="108" t="s">
        <v>137</v>
      </c>
      <c r="B45" s="79" t="s">
        <v>241</v>
      </c>
      <c r="C45" s="121" t="s">
        <v>301</v>
      </c>
      <c r="D45" s="121" t="s">
        <v>301</v>
      </c>
      <c r="E45" s="31" t="s">
        <v>288</v>
      </c>
      <c r="F45" s="31" t="s">
        <v>288</v>
      </c>
      <c r="G45" s="121" t="s">
        <v>288</v>
      </c>
      <c r="H45" s="121" t="s">
        <v>288</v>
      </c>
      <c r="I45" s="32" t="s">
        <v>301</v>
      </c>
      <c r="J45" s="32" t="s">
        <v>301</v>
      </c>
      <c r="K45" s="32" t="s">
        <v>301</v>
      </c>
      <c r="L45" s="32" t="s">
        <v>301</v>
      </c>
    </row>
    <row r="46" spans="1:12" s="30" customFormat="1" ht="153.75" customHeight="1" x14ac:dyDescent="0.25">
      <c r="A46" s="108" t="s">
        <v>135</v>
      </c>
      <c r="B46" s="79" t="s">
        <v>239</v>
      </c>
      <c r="C46" s="121" t="s">
        <v>288</v>
      </c>
      <c r="D46" s="121" t="s">
        <v>288</v>
      </c>
      <c r="E46" s="31" t="s">
        <v>288</v>
      </c>
      <c r="F46" s="31" t="s">
        <v>288</v>
      </c>
      <c r="G46" s="121" t="s">
        <v>288</v>
      </c>
      <c r="H46" s="121" t="s">
        <v>288</v>
      </c>
      <c r="I46" s="32" t="s">
        <v>301</v>
      </c>
      <c r="J46" s="32" t="s">
        <v>301</v>
      </c>
      <c r="K46" s="32" t="s">
        <v>301</v>
      </c>
      <c r="L46" s="32" t="s">
        <v>301</v>
      </c>
    </row>
    <row r="47" spans="1:12" s="30" customFormat="1" ht="30.75" customHeight="1" x14ac:dyDescent="0.25">
      <c r="A47" s="108" t="s">
        <v>133</v>
      </c>
      <c r="B47" s="79" t="s">
        <v>134</v>
      </c>
      <c r="C47" s="113" t="s">
        <v>301</v>
      </c>
      <c r="D47" s="113" t="s">
        <v>301</v>
      </c>
      <c r="E47" s="4"/>
      <c r="F47" s="4"/>
      <c r="G47" s="113"/>
      <c r="H47" s="113"/>
      <c r="I47" s="32">
        <v>0</v>
      </c>
      <c r="J47" s="32">
        <v>0</v>
      </c>
      <c r="K47" s="32" t="s">
        <v>301</v>
      </c>
      <c r="L47" s="32" t="s">
        <v>301</v>
      </c>
    </row>
    <row r="48" spans="1:12" s="30" customFormat="1" ht="37.5" customHeight="1" x14ac:dyDescent="0.25">
      <c r="A48" s="108" t="s">
        <v>251</v>
      </c>
      <c r="B48" s="78" t="s">
        <v>132</v>
      </c>
      <c r="C48" s="121"/>
      <c r="D48" s="121"/>
      <c r="E48" s="4"/>
      <c r="F48" s="4"/>
      <c r="G48" s="150"/>
      <c r="H48" s="150"/>
      <c r="I48" s="32"/>
      <c r="J48" s="32">
        <v>0</v>
      </c>
      <c r="K48" s="4"/>
      <c r="L48" s="4"/>
    </row>
    <row r="49" spans="1:12" s="30" customFormat="1" ht="35.25" customHeight="1" x14ac:dyDescent="0.25">
      <c r="A49" s="108">
        <v>4</v>
      </c>
      <c r="B49" s="79" t="s">
        <v>130</v>
      </c>
      <c r="C49" s="113" t="s">
        <v>301</v>
      </c>
      <c r="D49" s="113" t="s">
        <v>301</v>
      </c>
      <c r="E49" s="4"/>
      <c r="F49" s="4"/>
      <c r="G49" s="113"/>
      <c r="H49" s="113"/>
      <c r="I49" s="32">
        <v>0</v>
      </c>
      <c r="J49" s="32">
        <v>0</v>
      </c>
      <c r="K49" s="32" t="s">
        <v>301</v>
      </c>
      <c r="L49" s="32" t="s">
        <v>301</v>
      </c>
    </row>
    <row r="50" spans="1:12" s="30" customFormat="1" ht="86.25" customHeight="1" x14ac:dyDescent="0.25">
      <c r="A50" s="108" t="s">
        <v>131</v>
      </c>
      <c r="B50" s="79" t="s">
        <v>240</v>
      </c>
      <c r="C50" s="113" t="s">
        <v>301</v>
      </c>
      <c r="D50" s="113" t="s">
        <v>301</v>
      </c>
      <c r="E50" s="32" t="s">
        <v>301</v>
      </c>
      <c r="F50" s="32" t="s">
        <v>301</v>
      </c>
      <c r="G50" s="150"/>
      <c r="H50" s="150"/>
      <c r="I50" s="32">
        <v>0</v>
      </c>
      <c r="J50" s="32">
        <v>0</v>
      </c>
      <c r="K50" s="32" t="s">
        <v>301</v>
      </c>
      <c r="L50" s="32" t="s">
        <v>301</v>
      </c>
    </row>
    <row r="51" spans="1:12" s="30" customFormat="1" ht="67.5" customHeight="1" x14ac:dyDescent="0.25">
      <c r="A51" s="108" t="s">
        <v>129</v>
      </c>
      <c r="B51" s="79" t="s">
        <v>242</v>
      </c>
      <c r="C51" s="121" t="s">
        <v>301</v>
      </c>
      <c r="D51" s="121" t="s">
        <v>301</v>
      </c>
      <c r="E51" s="31" t="s">
        <v>288</v>
      </c>
      <c r="F51" s="31" t="s">
        <v>288</v>
      </c>
      <c r="G51" s="150"/>
      <c r="H51" s="150"/>
      <c r="I51" s="32">
        <v>0</v>
      </c>
      <c r="J51" s="32">
        <v>0</v>
      </c>
      <c r="K51" s="32" t="s">
        <v>301</v>
      </c>
      <c r="L51" s="32" t="s">
        <v>301</v>
      </c>
    </row>
    <row r="52" spans="1:12" s="30" customFormat="1" ht="71.25" customHeight="1" x14ac:dyDescent="0.25">
      <c r="A52" s="108" t="s">
        <v>127</v>
      </c>
      <c r="B52" s="79" t="s">
        <v>128</v>
      </c>
      <c r="C52" s="121" t="s">
        <v>301</v>
      </c>
      <c r="D52" s="121" t="s">
        <v>301</v>
      </c>
      <c r="E52" s="31" t="s">
        <v>288</v>
      </c>
      <c r="F52" s="31" t="s">
        <v>288</v>
      </c>
      <c r="G52" s="150" t="s">
        <v>301</v>
      </c>
      <c r="H52" s="150" t="s">
        <v>301</v>
      </c>
      <c r="I52" s="32" t="s">
        <v>301</v>
      </c>
      <c r="J52" s="32" t="s">
        <v>301</v>
      </c>
      <c r="K52" s="32" t="s">
        <v>301</v>
      </c>
      <c r="L52" s="32" t="s">
        <v>301</v>
      </c>
    </row>
    <row r="53" spans="1:12" s="30" customFormat="1" ht="40.5" customHeight="1" x14ac:dyDescent="0.25">
      <c r="A53" s="108" t="s">
        <v>125</v>
      </c>
      <c r="B53" s="30" t="s">
        <v>243</v>
      </c>
      <c r="C53" s="113" t="s">
        <v>301</v>
      </c>
      <c r="D53" s="113" t="s">
        <v>301</v>
      </c>
      <c r="E53" s="32" t="s">
        <v>301</v>
      </c>
      <c r="F53" s="32" t="s">
        <v>301</v>
      </c>
      <c r="G53" s="150"/>
      <c r="H53" s="150"/>
      <c r="I53" s="32">
        <v>0</v>
      </c>
      <c r="J53" s="32">
        <v>0</v>
      </c>
      <c r="K53" s="32" t="s">
        <v>301</v>
      </c>
      <c r="L53" s="32" t="s">
        <v>301</v>
      </c>
    </row>
    <row r="54" spans="1:12" s="30" customFormat="1" ht="46.5" customHeight="1" x14ac:dyDescent="0.25">
      <c r="A54" s="108" t="s">
        <v>244</v>
      </c>
      <c r="B54" s="79" t="s">
        <v>126</v>
      </c>
      <c r="C54" s="121" t="s">
        <v>288</v>
      </c>
      <c r="D54" s="121" t="s">
        <v>288</v>
      </c>
      <c r="E54" s="121" t="s">
        <v>288</v>
      </c>
      <c r="F54" s="121" t="s">
        <v>288</v>
      </c>
      <c r="G54" s="121" t="s">
        <v>288</v>
      </c>
      <c r="H54" s="121" t="s">
        <v>288</v>
      </c>
      <c r="I54" s="32" t="s">
        <v>301</v>
      </c>
      <c r="J54" s="32" t="s">
        <v>301</v>
      </c>
      <c r="K54" s="32" t="s">
        <v>301</v>
      </c>
      <c r="L54" s="32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2025-11-12T08:42:36Z</dcterms:modified>
</cp:coreProperties>
</file>