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3605" yWindow="105" windowWidth="15000" windowHeight="11760"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 name="_xlnm.Print_Area" localSheetId="11">'8. Общие сведения'!$A$1:$B$78</definedName>
  </definedNames>
  <calcPr calcId="162913" iterate="1" iterateCount="1000"/>
</workbook>
</file>

<file path=xl/calcChain.xml><?xml version="1.0" encoding="utf-8"?>
<calcChain xmlns="http://schemas.openxmlformats.org/spreadsheetml/2006/main">
  <c r="K42" i="15" l="1"/>
  <c r="J42" i="15"/>
  <c r="K41" i="15"/>
  <c r="J41" i="15"/>
  <c r="K40" i="15"/>
  <c r="J40" i="15"/>
  <c r="K39" i="15"/>
  <c r="J39" i="15"/>
  <c r="K38" i="15"/>
  <c r="J38" i="15"/>
  <c r="K37" i="15"/>
  <c r="J37" i="15"/>
  <c r="K36" i="15"/>
  <c r="J36" i="15"/>
  <c r="A5" i="7"/>
  <c r="C53" i="22" l="1"/>
  <c r="C55" i="22" l="1"/>
  <c r="E42" i="15" l="1"/>
  <c r="E41" i="15"/>
  <c r="E40" i="15"/>
  <c r="E39" i="15"/>
  <c r="E38" i="15"/>
  <c r="E37" i="15"/>
  <c r="F37" i="15"/>
  <c r="F38" i="15"/>
  <c r="F39" i="15"/>
  <c r="F40" i="15"/>
  <c r="F41" i="15"/>
  <c r="F42" i="15"/>
  <c r="F36" i="15"/>
  <c r="E36" i="15" s="1"/>
  <c r="B30" i="22" l="1"/>
  <c r="B29" i="22" s="1"/>
  <c r="A12" i="22" l="1"/>
  <c r="B69" i="22"/>
  <c r="B28" i="22" l="1"/>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B25" i="22" l="1"/>
  <c r="C56" i="15"/>
  <c r="F56" i="15" s="1"/>
  <c r="E56" i="15" s="1"/>
  <c r="G54" i="15"/>
  <c r="C53" i="15"/>
  <c r="F53" i="15" s="1"/>
  <c r="E53" i="15" s="1"/>
  <c r="G50" i="15"/>
  <c r="C49" i="15"/>
  <c r="F49" i="15" s="1"/>
  <c r="E49" i="15" s="1"/>
  <c r="C46" i="15"/>
  <c r="F46" i="15" s="1"/>
  <c r="E46" i="15" s="1"/>
  <c r="G44" i="15"/>
  <c r="G33" i="15"/>
  <c r="C32" i="15"/>
  <c r="G30" i="15"/>
  <c r="C30" i="15"/>
  <c r="C49" i="7" s="1"/>
  <c r="J28" i="15"/>
  <c r="K28" i="15" s="1"/>
  <c r="H27" i="15"/>
  <c r="G26" i="15"/>
  <c r="G24" i="15"/>
  <c r="G63" i="15"/>
  <c r="G32" i="15"/>
  <c r="E32" i="15" s="1"/>
  <c r="G29" i="15"/>
  <c r="G25" i="15"/>
  <c r="G64" i="15"/>
  <c r="G62" i="15"/>
  <c r="G60" i="15"/>
  <c r="C57" i="15"/>
  <c r="F57" i="15" s="1"/>
  <c r="E57" i="15" s="1"/>
  <c r="G55" i="15"/>
  <c r="G52" i="15"/>
  <c r="G48" i="15"/>
  <c r="C47" i="15"/>
  <c r="F47" i="15" s="1"/>
  <c r="E47" i="15" s="1"/>
  <c r="G45" i="15"/>
  <c r="C44" i="15"/>
  <c r="F44" i="15" s="1"/>
  <c r="E44" i="15" s="1"/>
  <c r="G34" i="15"/>
  <c r="E34" i="15" s="1"/>
  <c r="C33" i="15"/>
  <c r="H28" i="15"/>
  <c r="G27" i="15"/>
  <c r="J25" i="15"/>
  <c r="C55" i="15"/>
  <c r="F55" i="15" s="1"/>
  <c r="E55" i="15" s="1"/>
  <c r="G53" i="15"/>
  <c r="C45" i="15"/>
  <c r="F45" i="15" s="1"/>
  <c r="E45" i="15" s="1"/>
  <c r="C31" i="15"/>
  <c r="H26" i="15"/>
  <c r="G56" i="15"/>
  <c r="C54" i="15"/>
  <c r="F54" i="15" s="1"/>
  <c r="E54" i="15" s="1"/>
  <c r="C50" i="15"/>
  <c r="F50" i="15" s="1"/>
  <c r="E50" i="15" s="1"/>
  <c r="C48" i="15"/>
  <c r="F48" i="15" s="1"/>
  <c r="E48" i="15" s="1"/>
  <c r="G46" i="15"/>
  <c r="C34" i="15"/>
  <c r="G31" i="15"/>
  <c r="I30" i="15"/>
  <c r="G28" i="15"/>
  <c r="J26" i="15"/>
  <c r="H25" i="15"/>
  <c r="G61" i="15"/>
  <c r="G57" i="15"/>
  <c r="C52" i="15"/>
  <c r="F52" i="15" s="1"/>
  <c r="E52" i="15" s="1"/>
  <c r="G49" i="15"/>
  <c r="G47" i="15"/>
  <c r="D25" i="15" l="1"/>
  <c r="D26" i="15"/>
  <c r="C25" i="15"/>
  <c r="K26" i="15"/>
  <c r="F26" i="15"/>
  <c r="E26" i="15" s="1"/>
  <c r="D28" i="15"/>
  <c r="E28" i="15"/>
  <c r="C26" i="15"/>
  <c r="K25" i="15"/>
  <c r="F25" i="15"/>
  <c r="E25" i="15" s="1"/>
  <c r="C28" i="15"/>
  <c r="E29" i="15"/>
  <c r="A15" i="7" l="1"/>
  <c r="A15" i="22" l="1"/>
  <c r="B21" i="22" s="1"/>
  <c r="A15" i="24"/>
  <c r="A15" i="32"/>
  <c r="A16" i="25"/>
  <c r="A14" i="29"/>
  <c r="A15" i="28"/>
  <c r="A15" i="6"/>
  <c r="A14" i="27"/>
  <c r="A15" i="31"/>
  <c r="A15" i="16"/>
  <c r="A14" i="15"/>
  <c r="E24" i="15" l="1"/>
  <c r="F24" i="15"/>
  <c r="F27" i="15" s="1"/>
  <c r="E27" i="15" s="1"/>
  <c r="E30" i="15" l="1"/>
  <c r="F30" i="15"/>
  <c r="F33" i="15" s="1"/>
  <c r="E33" i="15" s="1"/>
  <c r="K24" i="15" l="1"/>
  <c r="H24" i="15" l="1"/>
  <c r="I26" i="15" l="1"/>
  <c r="I24" i="15"/>
  <c r="C24" i="15"/>
  <c r="I25" i="15"/>
  <c r="I28" i="15"/>
  <c r="I27" i="15"/>
  <c r="H29" i="15"/>
  <c r="I29" i="15" l="1"/>
  <c r="C29" i="15"/>
  <c r="C27" i="15"/>
  <c r="C48" i="7"/>
  <c r="K63" i="15" l="1"/>
  <c r="K61" i="15"/>
  <c r="J63" i="15" l="1"/>
  <c r="J61" i="15"/>
  <c r="D24" i="15" l="1"/>
  <c r="B53" i="22" s="1"/>
  <c r="D53" i="22" l="1"/>
  <c r="J24" i="15"/>
  <c r="J27" i="15"/>
  <c r="K27" i="15" l="1"/>
  <c r="D27" i="15"/>
  <c r="J29" i="15" l="1"/>
  <c r="K29" i="15" l="1"/>
  <c r="D29" i="15"/>
  <c r="D52" i="15" l="1"/>
  <c r="D56" i="15" l="1"/>
  <c r="D47" i="15"/>
  <c r="D39" i="15"/>
  <c r="D54" i="15"/>
  <c r="D37" i="15"/>
  <c r="D45" i="15"/>
  <c r="D55" i="15"/>
  <c r="D46" i="15"/>
  <c r="D38" i="15"/>
  <c r="I63" i="15"/>
  <c r="H30" i="15"/>
  <c r="D57" i="15" l="1"/>
  <c r="D42" i="15"/>
  <c r="D50" i="15"/>
  <c r="I61" i="15"/>
  <c r="I64" i="15"/>
  <c r="D30" i="15"/>
  <c r="I62" i="15"/>
  <c r="H61" i="15"/>
  <c r="I60" i="15"/>
  <c r="K62" i="15"/>
  <c r="C63" i="15" l="1"/>
  <c r="F63" i="15" s="1"/>
  <c r="E63" i="15" s="1"/>
  <c r="H60" i="15"/>
  <c r="K60" i="15"/>
  <c r="K64" i="15"/>
  <c r="C61" i="15"/>
  <c r="F61" i="15" s="1"/>
  <c r="E61" i="15" s="1"/>
  <c r="H62" i="15"/>
  <c r="C62" i="15"/>
  <c r="F62" i="15" s="1"/>
  <c r="E62" i="15" s="1"/>
  <c r="H63" i="15"/>
  <c r="D33" i="15"/>
  <c r="B55" i="22"/>
  <c r="B27" i="22"/>
  <c r="C60" i="15"/>
  <c r="F60" i="15" s="1"/>
  <c r="E60" i="15" s="1"/>
  <c r="J60" i="15"/>
  <c r="J62" i="15"/>
  <c r="J64" i="15"/>
  <c r="B39" i="22" l="1"/>
  <c r="B50" i="22" s="1"/>
  <c r="B47" i="22" s="1"/>
  <c r="B52" i="22"/>
  <c r="C64" i="15"/>
  <c r="F64" i="15" s="1"/>
  <c r="E64" i="15" s="1"/>
  <c r="H64" i="15"/>
  <c r="D55" i="22"/>
  <c r="B54" i="22"/>
  <c r="K47" i="15" l="1"/>
  <c r="J47" i="15"/>
  <c r="I48" i="15"/>
  <c r="H48" i="15"/>
  <c r="K49" i="15"/>
  <c r="I49" i="15"/>
  <c r="J49" i="15"/>
  <c r="K48" i="15"/>
  <c r="J48" i="15"/>
  <c r="H49" i="15"/>
  <c r="H47" i="15"/>
  <c r="I47" i="15"/>
  <c r="J31" i="15" l="1"/>
  <c r="K31" i="15" s="1"/>
  <c r="J33" i="15"/>
  <c r="K33" i="15" s="1"/>
  <c r="K30" i="15"/>
  <c r="J32" i="15"/>
  <c r="K32" i="15" s="1"/>
  <c r="J30" i="15"/>
  <c r="J34" i="15"/>
  <c r="K34" i="15" s="1"/>
  <c r="K56" i="15" l="1"/>
  <c r="K52" i="15"/>
  <c r="J56" i="15"/>
  <c r="H52" i="15"/>
  <c r="H56" i="15"/>
  <c r="I52" i="15"/>
  <c r="J52" i="15"/>
  <c r="I56" i="15"/>
  <c r="J53" i="15" l="1"/>
  <c r="J44" i="15"/>
  <c r="K54" i="15"/>
  <c r="K45" i="15"/>
  <c r="I44" i="15"/>
  <c r="I53" i="15"/>
  <c r="I46" i="15"/>
  <c r="I55" i="15"/>
  <c r="H57" i="15"/>
  <c r="H50" i="15"/>
  <c r="J54" i="15"/>
  <c r="J45" i="15"/>
  <c r="J46" i="15"/>
  <c r="J55" i="15"/>
  <c r="K53" i="15"/>
  <c r="K44" i="15"/>
  <c r="K46" i="15"/>
  <c r="K55" i="15"/>
  <c r="H46" i="15"/>
  <c r="H55" i="15"/>
  <c r="I54" i="15"/>
  <c r="I45" i="15"/>
  <c r="H44" i="15"/>
  <c r="H53" i="15"/>
  <c r="H54" i="15"/>
  <c r="H45" i="15"/>
  <c r="I50" i="15" l="1"/>
  <c r="I57" i="15"/>
  <c r="K50" i="15"/>
  <c r="K57" i="15"/>
  <c r="J50" i="15"/>
  <c r="J57" i="15"/>
</calcChain>
</file>

<file path=xl/sharedStrings.xml><?xml version="1.0" encoding="utf-8"?>
<sst xmlns="http://schemas.openxmlformats.org/spreadsheetml/2006/main" count="1210" uniqueCount="490">
  <si>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</si>
  <si>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</si>
  <si>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</si>
  <si>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</si>
  <si>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</si>
  <si>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</si>
  <si>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</si>
  <si>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</si>
  <si>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</si>
  <si>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</si>
  <si>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</si>
  <si>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</si>
  <si>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</si>
  <si>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</si>
  <si>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</si>
  <si>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</si>
  <si>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</si>
  <si>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</si>
  <si>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</si>
  <si>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</si>
  <si>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</si>
  <si>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</si>
  <si>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</si>
  <si>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</si>
  <si>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</si>
  <si>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</si>
  <si>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</si>
  <si>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</si>
  <si>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</si>
  <si>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</si>
  <si>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</si>
  <si>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</si>
  <si>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</si>
  <si>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</si>
  <si>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</si>
  <si>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</si>
  <si>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</si>
  <si>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</si>
  <si>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</si>
  <si>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</si>
  <si>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</si>
  <si>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</si>
  <si>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</si>
  <si>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</si>
  <si>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</si>
  <si>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</si>
  <si>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</si>
  <si>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</si>
  <si>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</si>
  <si>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</si>
  <si>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</si>
  <si>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</si>
  <si>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</si>
  <si>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</si>
  <si>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</si>
  <si>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</si>
  <si>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</si>
  <si>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</si>
  <si>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</si>
  <si>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</si>
  <si>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</si>
  <si>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</si>
  <si>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</si>
  <si>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</si>
  <si>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</si>
  <si>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</si>
  <si>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</si>
  <si>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</si>
  <si>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</si>
  <si>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</si>
  <si>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</si>
  <si>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</si>
  <si>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</si>
  <si>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</si>
  <si>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</si>
  <si>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</si>
  <si>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</si>
  <si>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</si>
  <si>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</si>
  <si>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</si>
  <si>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</si>
  <si>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</si>
  <si>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</si>
  <si>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</si>
  <si>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</si>
  <si>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</si>
  <si>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</si>
  <si>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</si>
  <si>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</si>
  <si>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</si>
  <si>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</si>
  <si>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</si>
  <si>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</si>
  <si>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</si>
  <si>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</si>
  <si>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</si>
  <si>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</si>
  <si>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</si>
  <si>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</si>
  <si>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</si>
  <si>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</si>
  <si>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</si>
  <si>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</si>
  <si>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</si>
  <si>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</si>
  <si>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</si>
  <si>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</si>
  <si>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</si>
  <si>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</si>
  <si>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</si>
  <si>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</si>
  <si>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</si>
  <si>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</si>
  <si>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</si>
  <si>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</si>
  <si>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</si>
  <si>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</si>
  <si>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</si>
  <si>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</si>
  <si>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</si>
  <si>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</si>
  <si>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</si>
  <si>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</si>
  <si>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</si>
  <si>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</si>
  <si>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</si>
  <si>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</si>
  <si>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</si>
  <si>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</si>
  <si>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</si>
  <si>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</si>
  <si>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</si>
  <si>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</si>
  <si>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</si>
  <si>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</si>
  <si>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</si>
  <si>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</si>
  <si>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</si>
  <si>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</si>
  <si>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</si>
  <si>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</si>
  <si>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</si>
  <si>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</si>
  <si>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</si>
  <si>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</si>
  <si>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</si>
  <si>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</si>
  <si>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</si>
  <si>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</si>
  <si>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</si>
  <si>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</si>
  <si>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</si>
  <si>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</si>
  <si>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</si>
  <si>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</si>
  <si>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</si>
  <si>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</si>
  <si>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</si>
  <si>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</si>
  <si>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</si>
  <si>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</si>
  <si>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</si>
  <si>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</si>
  <si>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</si>
  <si>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</si>
  <si>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</si>
  <si>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</si>
  <si>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</si>
  <si>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</si>
  <si>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</si>
  <si>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</si>
  <si>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</si>
  <si>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</si>
  <si>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</si>
  <si>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</si>
  <si>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</si>
  <si>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</si>
  <si>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</si>
  <si>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</si>
  <si>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</si>
  <si>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</si>
  <si>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</si>
  <si>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</si>
  <si>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</si>
  <si>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</si>
  <si>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</si>
  <si>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</si>
  <si>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</si>
  <si>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</si>
  <si>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</si>
  <si>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</si>
  <si>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</si>
  <si>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</si>
  <si>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</si>
  <si>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</si>
  <si>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</si>
  <si>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</si>
  <si>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</si>
  <si>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</si>
  <si>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</si>
  <si>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</si>
  <si>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</si>
  <si>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</si>
  <si>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</si>
  <si>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</si>
  <si>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</si>
  <si>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</si>
  <si>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</si>
  <si>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</si>
  <si>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</si>
  <si>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</si>
  <si>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</si>
  <si>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</si>
  <si>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</si>
  <si>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</si>
  <si>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</si>
  <si>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</si>
  <si>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</si>
  <si>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</si>
  <si>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</si>
  <si>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</si>
  <si>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</si>
  <si>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</si>
  <si>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</si>
  <si>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</si>
  <si>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</si>
  <si>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</si>
  <si>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</si>
  <si>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</si>
  <si>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</si>
  <si>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</si>
  <si>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</si>
  <si>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</si>
  <si>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</si>
  <si>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</si>
  <si>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</si>
  <si>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</si>
  <si>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</si>
  <si>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</si>
  <si>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</si>
  <si>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</si>
  <si>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</si>
  <si>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</si>
  <si>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</si>
  <si>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</si>
  <si>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</si>
  <si>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</si>
  <si>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</si>
  <si>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</si>
  <si>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</si>
  <si>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</si>
  <si>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</si>
  <si>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</si>
  <si>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</si>
  <si>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</si>
  <si>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</si>
  <si>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</si>
  <si>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</si>
  <si>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</si>
  <si>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</si>
  <si>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</si>
  <si>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</si>
  <si>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</si>
  <si>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</si>
  <si>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</si>
  <si>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</si>
  <si>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</si>
  <si>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</si>
  <si>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</si>
  <si>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</si>
  <si>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</si>
  <si>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</si>
  <si>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</si>
  <si>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</si>
  <si>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</si>
  <si>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</si>
  <si>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</si>
  <si>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</si>
  <si>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</si>
  <si>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</si>
  <si>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</si>
  <si>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</si>
  <si>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</si>
  <si>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</si>
  <si>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</si>
  <si>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</si>
  <si>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</si>
  <si>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</si>
  <si>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</si>
  <si>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</si>
  <si>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</si>
  <si>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</si>
  <si>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</si>
  <si>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</si>
  <si>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</si>
  <si>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</si>
  <si>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</si>
  <si>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</si>
  <si>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</si>
  <si>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</si>
  <si>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</si>
  <si>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</si>
  <si>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</si>
  <si>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</si>
  <si>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</si>
  <si>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</si>
  <si>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</si>
  <si>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</si>
  <si>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</si>
  <si>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</si>
  <si>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</si>
  <si>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</si>
  <si>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</si>
  <si>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</si>
  <si>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</si>
  <si>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</si>
  <si>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</si>
  <si>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</si>
  <si>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</si>
  <si>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</si>
  <si>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</si>
  <si>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</si>
  <si>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</si>
  <si>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</si>
  <si>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</si>
  <si>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</si>
  <si>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</si>
  <si>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</si>
  <si>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</si>
  <si>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</si>
  <si>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</si>
  <si>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</si>
  <si>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</si>
  <si>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</si>
  <si>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</si>
  <si>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</si>
  <si>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</si>
  <si>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</si>
  <si>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</si>
  <si>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</si>
  <si>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</si>
  <si>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</si>
  <si>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</si>
  <si>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</si>
  <si>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</si>
  <si>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</si>
  <si>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</si>
  <si>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</si>
  <si>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</si>
  <si>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</si>
  <si>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</si>
  <si>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</si>
  <si>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</si>
  <si>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</si>
  <si>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</si>
  <si>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</si>
  <si>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</si>
  <si>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</si>
  <si>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</si>
  <si>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</si>
  <si>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</si>
  <si>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</si>
  <si>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</si>
  <si>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</si>
  <si>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</si>
  <si>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</si>
  <si>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</si>
  <si>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</si>
  <si>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</si>
  <si>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</si>
  <si>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</si>
  <si>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</si>
  <si>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</si>
  <si>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</si>
  <si>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</si>
  <si>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</si>
  <si>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</si>
  <si>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</si>
  <si>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</si>
  <si>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</si>
  <si>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</si>
  <si>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</si>
  <si>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</si>
  <si>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</si>
  <si>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</si>
  <si>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</si>
  <si>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</si>
  <si>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</si>
  <si>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</si>
  <si>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</si>
  <si>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</si>
  <si>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</si>
  <si>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</si>
  <si>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</si>
  <si>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</si>
  <si>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</si>
  <si>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</si>
  <si>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</si>
  <si>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</si>
  <si>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</si>
  <si>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</si>
  <si>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</si>
  <si>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</si>
  <si>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</si>
  <si>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</si>
  <si>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</si>
  <si>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</si>
  <si>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</si>
  <si>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</si>
  <si>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</si>
  <si>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</si>
  <si>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</si>
  <si>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</si>
  <si>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</si>
  <si>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</si>
  <si>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</si>
  <si>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</si>
  <si>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</si>
  <si>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</si>
  <si>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</si>
  <si>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</si>
  <si>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</si>
  <si>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</si>
  <si>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</si>
  <si>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</si>
  <si>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</si>
  <si>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</si>
  <si>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</si>
  <si>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</si>
  <si>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</si>
  <si>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</si>
  <si>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</si>
  <si>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</si>
  <si>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</si>
  <si>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</si>
  <si>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</si>
  <si>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</si>
  <si>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</si>
  <si>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</si>
  <si>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</si>
  <si>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</si>
  <si>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</si>
  <si>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</si>
  <si>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</si>
  <si>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</si>
  <si>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</si>
  <si>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</si>
  <si>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</si>
  <si>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</si>
  <si>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</si>
  <si>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</si>
  <si>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</si>
  <si>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</si>
  <si>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</si>
  <si>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</si>
  <si>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</si>
  <si>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</si>
  <si>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</si>
  <si>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</si>
  <si>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</si>
  <si>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</si>
  <si>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</si>
  <si>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</si>
  <si>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</si>
  <si>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</si>
  <si>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</si>
  <si>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</si>
  <si>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объем заключенного договора в ценах _2020_ года с НДС, млн. руб.</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</si>
  <si>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</si>
  <si>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</si>
  <si>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</si>
  <si>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O_Che477_24</t>
  </si>
  <si>
    <t xml:space="preserve"> Приобретение оборудования для намотки кабеля на барабан УПК-25-РЧ-003 (Перемоточное устройство с электроприв.и РКУ) - 1 шт</t>
  </si>
  <si>
    <t>Приобретение оборудования для намотки кабеля на барабан УПК-25-РЧ-003    в целях  обеспечения  необходимыми средствами для решения производственных задач</t>
  </si>
  <si>
    <t>Факт 2023 года</t>
  </si>
  <si>
    <t xml:space="preserve">2024 год </t>
  </si>
  <si>
    <t xml:space="preserve"> по состоянию на 01.01.2023</t>
  </si>
  <si>
    <t>по состоянию на 01.01.2024</t>
  </si>
  <si>
    <t>АЗИМУТ(ООО) договор №127 от 09.10.2023</t>
  </si>
  <si>
    <t>Приобретение оборудования</t>
  </si>
  <si>
    <t>Оборудование</t>
  </si>
  <si>
    <t>оборудования для намотки кабеля на барабан УПК-25-РЧ-003</t>
  </si>
  <si>
    <t>КП</t>
  </si>
  <si>
    <t>ЗК</t>
  </si>
  <si>
    <t xml:space="preserve">ОБЩЕСТВО с ОГРАНИЧЕННОЙ ОТВЕТСТВЕННОСТЬЮ "АЗИМУТ"
</t>
  </si>
  <si>
    <t xml:space="preserve">ROSSETI26092300006 </t>
  </si>
  <si>
    <t>https://rosseti.roseltorg.ru/</t>
  </si>
  <si>
    <t>ООО "Азимут"</t>
  </si>
  <si>
    <t>закупка у ЕИ не осуществлялась</t>
  </si>
  <si>
    <t xml:space="preserve"> 09.10.2023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</si>
</sst>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8" fillId="0" borderId="0" applyNumberFormat="0" applyFill="0" applyBorder="0" applyAlignment="0" applyProtection="0"/>
    <xf numFmtId="9" fontId="69" fillId="0" borderId="0" applyFont="0" applyFill="0" applyBorder="0" applyAlignment="0" applyProtection="0"/>
    <xf numFmtId="0" fontId="10" fillId="0" borderId="0"/>
    <xf numFmtId="164" fontId="69" fillId="0" borderId="0" applyFont="0" applyFill="0" applyBorder="0" applyAlignment="0" applyProtection="0"/>
  </cellStyleXfs>
  <cellXfs count="351">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1" fillId="0" borderId="0" xfId="51" applyFill="1" applyBorder="1"/>
    <xf numFmtId="0" fontId="71"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9" fontId="10" fillId="0" borderId="10" xfId="60" applyFont="1" applyFill="1" applyBorder="1" applyAlignment="1">
      <alignment horizontal="center" vertical="center"/>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4"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4" fillId="0" borderId="10" xfId="51" applyNumberFormat="1" applyFont="1" applyFill="1" applyBorder="1" applyAlignment="1">
      <alignment horizontal="center" vertical="center"/>
    </xf>
    <xf numFmtId="0" fontId="71" fillId="0" borderId="0" xfId="51" applyFill="1" applyBorder="1" applyAlignment="1">
      <alignment horizontal="center"/>
    </xf>
    <xf numFmtId="0" fontId="71" fillId="0" borderId="0" xfId="51" applyFill="1" applyAlignment="1">
      <alignment horizont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36" fillId="0" borderId="14" xfId="40" applyFont="1" applyFill="1" applyBorder="1" applyAlignment="1">
      <alignment horizontal="center" vertical="center" wrapText="1"/>
    </xf>
    <xf numFmtId="2" fontId="10" fillId="0" borderId="0" xfId="40" applyNumberFormat="1" applyFill="1" applyAlignment="1">
      <alignment vertical="center" wrapText="1"/>
    </xf>
    <xf numFmtId="1" fontId="79" fillId="24" borderId="10" xfId="50" applyNumberFormat="1" applyFont="1" applyFill="1" applyBorder="1" applyAlignment="1">
      <alignment horizontal="center" vertical="center" wrapText="1"/>
    </xf>
    <xf numFmtId="49" fontId="39" fillId="24" borderId="10" xfId="50" applyNumberFormat="1" applyFont="1" applyFill="1" applyBorder="1" applyAlignment="1">
      <alignment horizontal="center" vertical="center" wrapText="1"/>
    </xf>
    <xf numFmtId="0" fontId="39" fillId="24" borderId="10" xfId="50" applyFont="1" applyFill="1" applyBorder="1" applyAlignment="1">
      <alignment horizontal="center" vertical="center" wrapText="1"/>
    </xf>
    <xf numFmtId="2" fontId="79" fillId="24" borderId="10" xfId="50" applyNumberFormat="1" applyFont="1" applyFill="1" applyBorder="1" applyAlignment="1">
      <alignment horizontal="center" vertical="center" wrapText="1"/>
    </xf>
    <xf numFmtId="0" fontId="80" fillId="24" borderId="10" xfId="50" applyFont="1" applyFill="1" applyBorder="1" applyAlignment="1">
      <alignment horizontal="center" vertical="center" wrapText="1"/>
    </xf>
    <xf numFmtId="0" fontId="80" fillId="24" borderId="10" xfId="0" applyFont="1" applyFill="1" applyBorder="1" applyAlignment="1">
      <alignment horizontal="center" vertical="center" wrapText="1"/>
    </xf>
    <xf numFmtId="0" fontId="79" fillId="24" borderId="10" xfId="50" applyFont="1" applyFill="1" applyBorder="1" applyAlignment="1">
      <alignment horizontal="center" vertical="center" wrapText="1"/>
    </xf>
    <xf numFmtId="4" fontId="79" fillId="24" borderId="10" xfId="50" applyNumberFormat="1" applyFont="1" applyFill="1" applyBorder="1" applyAlignment="1">
      <alignment horizontal="center" vertical="center" wrapText="1"/>
    </xf>
    <xf numFmtId="0" fontId="81" fillId="24" borderId="10" xfId="0" applyFont="1" applyFill="1" applyBorder="1" applyAlignment="1">
      <alignment horizontal="center" vertical="center" wrapText="1"/>
    </xf>
    <xf numFmtId="0" fontId="79" fillId="24" borderId="10" xfId="50" applyFont="1" applyFill="1" applyBorder="1" applyAlignment="1">
      <alignment horizontal="center" wrapText="1"/>
    </xf>
    <xf numFmtId="49" fontId="79" fillId="24" borderId="10" xfId="71" applyNumberFormat="1" applyFont="1" applyFill="1" applyBorder="1" applyAlignment="1">
      <alignment horizontal="center" vertical="center" wrapText="1"/>
    </xf>
    <xf numFmtId="0" fontId="82" fillId="24" borderId="10" xfId="0" applyFont="1" applyFill="1" applyBorder="1" applyAlignment="1">
      <alignment horizontal="center" vertical="center"/>
    </xf>
    <xf numFmtId="0" fontId="83" fillId="24" borderId="10" xfId="68" applyFont="1" applyFill="1" applyBorder="1" applyAlignment="1">
      <alignment horizontal="center" vertical="center"/>
    </xf>
    <xf numFmtId="14" fontId="79" fillId="24" borderId="10" xfId="50" applyNumberFormat="1" applyFont="1" applyFill="1" applyBorder="1" applyAlignment="1">
      <alignment horizontal="center" vertical="center" wrapText="1"/>
    </xf>
    <xf numFmtId="0" fontId="84" fillId="24" borderId="10" xfId="0" applyFont="1" applyFill="1" applyBorder="1" applyAlignment="1">
      <alignment horizontal="center" vertical="center" wrapText="1"/>
    </xf>
    <xf numFmtId="0" fontId="84" fillId="24" borderId="0" xfId="0" applyFont="1" applyFill="1" applyAlignment="1">
      <alignment horizontal="center" vertical="center" wrapText="1"/>
    </xf>
    <xf numFmtId="168"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2" fontId="35" fillId="0" borderId="10" xfId="40" applyNumberFormat="1" applyFont="1" applyFill="1" applyBorder="1" applyAlignment="1">
      <alignment horizontal="justify" vertical="center" wrapText="1"/>
    </xf>
    <xf numFmtId="9" fontId="34" fillId="0" borderId="10" xfId="60" applyFont="1" applyFill="1" applyBorder="1" applyAlignment="1">
      <alignment horizontal="justify" vertical="center"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31" xfId="40" applyNumberFormat="1" applyFont="1" applyFill="1" applyBorder="1" applyAlignment="1">
      <alignment horizontal="center" vertical="center" wrapText="1"/>
    </xf>
    <xf numFmtId="0" fontId="34" fillId="0" borderId="31" xfId="40" applyFont="1" applyFill="1" applyBorder="1" applyAlignment="1">
      <alignment horizontal="justify" vertical="center" wrapText="1"/>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1" fontId="39" fillId="24" borderId="11" xfId="50" applyNumberFormat="1" applyFont="1" applyFill="1" applyBorder="1" applyAlignment="1">
      <alignment horizontal="center" vertical="center" wrapText="1"/>
    </xf>
    <xf numFmtId="1" fontId="39" fillId="24" borderId="16" xfId="50" applyNumberFormat="1" applyFont="1" applyFill="1" applyBorder="1" applyAlignment="1">
      <alignment horizontal="center" vertical="center" wrapText="1"/>
    </xf>
    <xf numFmtId="1" fontId="39" fillId="24" borderId="15" xfId="50" applyNumberFormat="1"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C43" zoomScale="70" zoomScaleNormal="70" workbookViewId="0">
      <selection activeCell="C48" sqref="C48"/>
    </sheetView>
  </sheetViews>
  <sheetFormatPr defaultColWidth="9.140625" defaultRowHeight="15" x14ac:dyDescent="0.25"/>
  <cols>
    <col min="1" max="1" width="6.140625" style="182"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178"/>
      <c r="C1" s="32" t="s">
        <v>22</v>
      </c>
    </row>
    <row r="2" spans="1:22" s="2" customFormat="1" ht="18.75" customHeight="1" x14ac:dyDescent="0.3">
      <c r="A2" s="178"/>
      <c r="C2" s="33" t="s">
        <v>6</v>
      </c>
    </row>
    <row r="3" spans="1:22" s="2" customFormat="1" ht="18.75" x14ac:dyDescent="0.3">
      <c r="A3" s="179"/>
      <c r="C3" s="33" t="s">
        <v>21</v>
      </c>
    </row>
    <row r="4" spans="1:22" s="2" customFormat="1" ht="18.75" x14ac:dyDescent="0.3">
      <c r="A4" s="179"/>
      <c r="H4" s="33"/>
    </row>
    <row r="5" spans="1:22" s="2" customFormat="1" ht="15.75" x14ac:dyDescent="0.25">
      <c r="A5" s="226" t="str">
        <f>'[1]6.2. отчет'!$B$2</f>
        <v>Год раскрытия информации: 2025 год</v>
      </c>
      <c r="B5" s="226"/>
      <c r="C5" s="226"/>
      <c r="D5" s="28"/>
      <c r="E5" s="28"/>
      <c r="F5" s="28"/>
      <c r="G5" s="28"/>
      <c r="H5" s="28"/>
      <c r="I5" s="28"/>
      <c r="J5" s="28"/>
    </row>
    <row r="6" spans="1:22" s="2" customFormat="1" ht="18.75" x14ac:dyDescent="0.3">
      <c r="A6" s="179"/>
      <c r="H6" s="33"/>
    </row>
    <row r="7" spans="1:22" s="2" customFormat="1" ht="18.75" x14ac:dyDescent="0.2">
      <c r="A7" s="230" t="s">
        <v>5</v>
      </c>
      <c r="B7" s="230"/>
      <c r="C7" s="230"/>
      <c r="D7" s="72"/>
      <c r="E7" s="72"/>
      <c r="F7" s="72"/>
      <c r="G7" s="72"/>
      <c r="H7" s="72"/>
      <c r="I7" s="72"/>
      <c r="J7" s="72"/>
      <c r="K7" s="72"/>
      <c r="L7" s="72"/>
      <c r="M7" s="72"/>
      <c r="N7" s="72"/>
      <c r="O7" s="72"/>
      <c r="P7" s="72"/>
      <c r="Q7" s="72"/>
      <c r="R7" s="72"/>
      <c r="S7" s="72"/>
      <c r="T7" s="72"/>
      <c r="U7" s="72"/>
      <c r="V7" s="72"/>
    </row>
    <row r="8" spans="1:22" s="2" customFormat="1" ht="18.75" x14ac:dyDescent="0.2">
      <c r="A8" s="176"/>
      <c r="B8" s="107"/>
      <c r="C8" s="107"/>
      <c r="D8" s="107"/>
      <c r="E8" s="107"/>
      <c r="F8" s="107"/>
      <c r="G8" s="107"/>
      <c r="H8" s="107"/>
      <c r="I8" s="72"/>
      <c r="J8" s="72"/>
      <c r="K8" s="72"/>
      <c r="L8" s="72"/>
      <c r="M8" s="72"/>
      <c r="N8" s="72"/>
      <c r="O8" s="72"/>
      <c r="P8" s="72"/>
      <c r="Q8" s="72"/>
      <c r="R8" s="72"/>
      <c r="S8" s="72"/>
      <c r="T8" s="72"/>
      <c r="U8" s="72"/>
      <c r="V8" s="72"/>
    </row>
    <row r="9" spans="1:22" s="2" customFormat="1" ht="18.75" x14ac:dyDescent="0.2">
      <c r="A9" s="231" t="s">
        <v>251</v>
      </c>
      <c r="B9" s="231"/>
      <c r="C9" s="231"/>
      <c r="D9" s="75"/>
      <c r="E9" s="75"/>
      <c r="F9" s="75"/>
      <c r="G9" s="75"/>
      <c r="H9" s="75"/>
      <c r="I9" s="72"/>
      <c r="J9" s="72"/>
      <c r="K9" s="72"/>
      <c r="L9" s="72"/>
      <c r="M9" s="72"/>
      <c r="N9" s="72"/>
      <c r="O9" s="72"/>
      <c r="P9" s="72"/>
      <c r="Q9" s="72"/>
      <c r="R9" s="72"/>
      <c r="S9" s="72"/>
      <c r="T9" s="72"/>
      <c r="U9" s="72"/>
      <c r="V9" s="72"/>
    </row>
    <row r="10" spans="1:22" s="2" customFormat="1" ht="18.75" x14ac:dyDescent="0.2">
      <c r="A10" s="232" t="s">
        <v>4</v>
      </c>
      <c r="B10" s="232"/>
      <c r="C10" s="232"/>
      <c r="D10" s="76"/>
      <c r="E10" s="76"/>
      <c r="F10" s="76"/>
      <c r="G10" s="76"/>
      <c r="H10" s="76"/>
      <c r="I10" s="72"/>
      <c r="J10" s="72"/>
      <c r="K10" s="72"/>
      <c r="L10" s="72"/>
      <c r="M10" s="72"/>
      <c r="N10" s="72"/>
      <c r="O10" s="72"/>
      <c r="P10" s="72"/>
      <c r="Q10" s="72"/>
      <c r="R10" s="72"/>
      <c r="S10" s="72"/>
      <c r="T10" s="72"/>
      <c r="U10" s="72"/>
      <c r="V10" s="72"/>
    </row>
    <row r="11" spans="1:22" s="2" customFormat="1" ht="18.75" x14ac:dyDescent="0.2">
      <c r="A11" s="176"/>
      <c r="B11" s="107"/>
      <c r="C11" s="107"/>
      <c r="D11" s="107"/>
      <c r="E11" s="107"/>
      <c r="F11" s="107"/>
      <c r="G11" s="107"/>
      <c r="H11" s="107"/>
      <c r="I11" s="72"/>
      <c r="J11" s="72"/>
      <c r="K11" s="72"/>
      <c r="L11" s="72"/>
      <c r="M11" s="72"/>
      <c r="N11" s="72"/>
      <c r="O11" s="72"/>
      <c r="P11" s="72"/>
      <c r="Q11" s="72"/>
      <c r="R11" s="72"/>
      <c r="S11" s="72"/>
      <c r="T11" s="72"/>
      <c r="U11" s="72"/>
      <c r="V11" s="72"/>
    </row>
    <row r="12" spans="1:22" s="2" customFormat="1" ht="18.75" x14ac:dyDescent="0.2">
      <c r="A12" s="231" t="s">
        <v>471</v>
      </c>
      <c r="B12" s="231"/>
      <c r="C12" s="231"/>
      <c r="D12" s="75"/>
      <c r="E12" s="75"/>
      <c r="F12" s="75"/>
      <c r="G12" s="75"/>
      <c r="H12" s="75"/>
      <c r="I12" s="72"/>
      <c r="J12" s="72"/>
      <c r="K12" s="72"/>
      <c r="L12" s="72"/>
      <c r="M12" s="72"/>
      <c r="N12" s="72"/>
      <c r="O12" s="72"/>
      <c r="P12" s="72"/>
      <c r="Q12" s="72"/>
      <c r="R12" s="72"/>
      <c r="S12" s="72"/>
      <c r="T12" s="72"/>
      <c r="U12" s="72"/>
      <c r="V12" s="72"/>
    </row>
    <row r="13" spans="1:22" s="2" customFormat="1" ht="18.75" x14ac:dyDescent="0.2">
      <c r="A13" s="232" t="s">
        <v>3</v>
      </c>
      <c r="B13" s="232"/>
      <c r="C13" s="232"/>
      <c r="D13" s="76"/>
      <c r="E13" s="76"/>
      <c r="F13" s="76"/>
      <c r="G13" s="76"/>
      <c r="H13" s="76"/>
      <c r="I13" s="72"/>
      <c r="J13" s="72"/>
      <c r="K13" s="72"/>
      <c r="L13" s="72"/>
      <c r="M13" s="72"/>
      <c r="N13" s="72"/>
      <c r="O13" s="72"/>
      <c r="P13" s="72"/>
      <c r="Q13" s="72"/>
      <c r="R13" s="72"/>
      <c r="S13" s="72"/>
      <c r="T13" s="72"/>
      <c r="U13" s="72"/>
      <c r="V13" s="72"/>
    </row>
    <row r="14" spans="1:22" s="108" customFormat="1" ht="15.75" customHeight="1" x14ac:dyDescent="0.2">
      <c r="A14" s="177"/>
      <c r="B14" s="63"/>
      <c r="C14" s="63"/>
      <c r="D14" s="63"/>
      <c r="E14" s="63"/>
      <c r="F14" s="63"/>
      <c r="G14" s="63"/>
      <c r="H14" s="63"/>
      <c r="I14" s="63"/>
      <c r="J14" s="63"/>
      <c r="K14" s="63"/>
      <c r="L14" s="63"/>
      <c r="M14" s="63"/>
      <c r="N14" s="63"/>
      <c r="O14" s="63"/>
      <c r="P14" s="63"/>
      <c r="Q14" s="63"/>
      <c r="R14" s="63"/>
      <c r="S14" s="63"/>
      <c r="T14" s="63"/>
      <c r="U14" s="63"/>
      <c r="V14" s="63"/>
    </row>
    <row r="15" spans="1:22" s="109" customFormat="1" ht="29.45" customHeight="1" x14ac:dyDescent="0.2">
      <c r="A15" s="233" t="str">
        <f>VLOOKUP(A12,'[1]6.2. отчет'!$A:$C,3,0)</f>
        <v>Приобретение оборудования для намотки кабеля на барабан УПК-25-РЧ-003 (Перемоточное устройство с электроприв.и РКУ)</v>
      </c>
      <c r="B15" s="231"/>
      <c r="C15" s="231"/>
      <c r="D15" s="75"/>
      <c r="E15" s="75"/>
      <c r="F15" s="75"/>
      <c r="G15" s="75"/>
      <c r="H15" s="75"/>
      <c r="I15" s="75"/>
      <c r="J15" s="75"/>
      <c r="K15" s="75"/>
      <c r="L15" s="75"/>
      <c r="M15" s="75"/>
      <c r="N15" s="75"/>
      <c r="O15" s="75"/>
      <c r="P15" s="75"/>
      <c r="Q15" s="75"/>
      <c r="R15" s="75"/>
      <c r="S15" s="75"/>
      <c r="T15" s="75"/>
      <c r="U15" s="75"/>
      <c r="V15" s="75"/>
    </row>
    <row r="16" spans="1:22" s="109" customFormat="1" ht="15" customHeight="1" x14ac:dyDescent="0.2">
      <c r="A16" s="227" t="s">
        <v>2</v>
      </c>
      <c r="B16" s="227"/>
      <c r="C16" s="227"/>
      <c r="D16" s="76"/>
      <c r="E16" s="76"/>
      <c r="F16" s="76"/>
      <c r="G16" s="76"/>
      <c r="H16" s="76"/>
      <c r="I16" s="76"/>
      <c r="J16" s="76"/>
      <c r="K16" s="76"/>
      <c r="L16" s="76"/>
      <c r="M16" s="76"/>
      <c r="N16" s="76"/>
      <c r="O16" s="76"/>
      <c r="P16" s="76"/>
      <c r="Q16" s="76"/>
      <c r="R16" s="76"/>
      <c r="S16" s="76"/>
      <c r="T16" s="76"/>
      <c r="U16" s="76"/>
      <c r="V16" s="76"/>
    </row>
    <row r="17" spans="1:22" s="109" customFormat="1" ht="15" customHeight="1" x14ac:dyDescent="0.2">
      <c r="A17" s="175"/>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28" t="s">
        <v>244</v>
      </c>
      <c r="B18" s="229"/>
      <c r="C18" s="229"/>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75"/>
      <c r="B19" s="143"/>
      <c r="C19" s="143"/>
      <c r="D19" s="76"/>
      <c r="E19" s="76"/>
      <c r="F19" s="76"/>
      <c r="G19" s="76"/>
      <c r="H19" s="76"/>
      <c r="I19" s="110"/>
      <c r="J19" s="110"/>
      <c r="K19" s="110"/>
      <c r="L19" s="110"/>
      <c r="M19" s="110"/>
      <c r="N19" s="110"/>
      <c r="O19" s="110"/>
      <c r="P19" s="110"/>
      <c r="Q19" s="110"/>
      <c r="R19" s="110"/>
      <c r="S19" s="110"/>
    </row>
    <row r="20" spans="1:22" s="109" customFormat="1" ht="39.75" customHeight="1" x14ac:dyDescent="0.2">
      <c r="A20" s="145" t="s">
        <v>1</v>
      </c>
      <c r="B20" s="144" t="s">
        <v>20</v>
      </c>
      <c r="C20" s="145" t="s">
        <v>19</v>
      </c>
      <c r="D20" s="115"/>
      <c r="E20" s="115"/>
      <c r="F20" s="115"/>
      <c r="G20" s="115"/>
      <c r="H20" s="115"/>
      <c r="I20" s="63"/>
      <c r="J20" s="63"/>
      <c r="K20" s="63"/>
      <c r="L20" s="63"/>
      <c r="M20" s="63"/>
      <c r="N20" s="63"/>
      <c r="O20" s="63"/>
      <c r="P20" s="63"/>
      <c r="Q20" s="63"/>
      <c r="R20" s="63"/>
      <c r="S20" s="63"/>
      <c r="T20" s="116"/>
      <c r="U20" s="116"/>
      <c r="V20" s="116"/>
    </row>
    <row r="21" spans="1:22" s="109" customFormat="1" ht="16.5" customHeight="1" x14ac:dyDescent="0.2">
      <c r="A21" s="145">
        <v>1</v>
      </c>
      <c r="B21" s="144">
        <v>2</v>
      </c>
      <c r="C21" s="145">
        <v>3</v>
      </c>
      <c r="D21" s="115"/>
      <c r="E21" s="115"/>
      <c r="F21" s="115"/>
      <c r="G21" s="115"/>
      <c r="H21" s="115"/>
      <c r="I21" s="63"/>
      <c r="J21" s="63"/>
      <c r="K21" s="63"/>
      <c r="L21" s="63"/>
      <c r="M21" s="63"/>
      <c r="N21" s="63"/>
      <c r="O21" s="63"/>
      <c r="P21" s="63"/>
      <c r="Q21" s="63"/>
      <c r="R21" s="63"/>
      <c r="S21" s="63"/>
      <c r="T21" s="116"/>
      <c r="U21" s="116"/>
      <c r="V21" s="116"/>
    </row>
    <row r="22" spans="1:22" s="109" customFormat="1" ht="36.6" customHeight="1" x14ac:dyDescent="0.2">
      <c r="A22" s="180" t="s">
        <v>18</v>
      </c>
      <c r="B22" s="146" t="s">
        <v>141</v>
      </c>
      <c r="C22" s="185" t="s">
        <v>458</v>
      </c>
      <c r="D22" s="115"/>
      <c r="E22" s="115"/>
      <c r="F22" s="115"/>
      <c r="G22" s="115"/>
      <c r="H22" s="115"/>
      <c r="I22" s="63"/>
      <c r="J22" s="63"/>
      <c r="K22" s="63"/>
      <c r="L22" s="63"/>
      <c r="M22" s="63"/>
      <c r="N22" s="63"/>
      <c r="O22" s="63"/>
      <c r="P22" s="63"/>
      <c r="Q22" s="63"/>
      <c r="R22" s="63"/>
      <c r="S22" s="63"/>
      <c r="T22" s="116"/>
      <c r="U22" s="116"/>
      <c r="V22" s="116"/>
    </row>
    <row r="23" spans="1:22" s="109" customFormat="1" ht="41.25" customHeight="1" x14ac:dyDescent="0.2">
      <c r="A23" s="180" t="s">
        <v>17</v>
      </c>
      <c r="B23" s="56" t="s">
        <v>448</v>
      </c>
      <c r="C23" s="186" t="s">
        <v>314</v>
      </c>
      <c r="D23" s="115"/>
      <c r="E23" s="115"/>
      <c r="F23" s="115"/>
      <c r="G23" s="115"/>
      <c r="H23" s="115"/>
      <c r="I23" s="63"/>
      <c r="J23" s="63"/>
      <c r="K23" s="63"/>
      <c r="L23" s="63"/>
      <c r="M23" s="63"/>
      <c r="N23" s="63"/>
      <c r="O23" s="63"/>
      <c r="P23" s="63"/>
      <c r="Q23" s="63"/>
      <c r="R23" s="63"/>
      <c r="S23" s="63"/>
      <c r="T23" s="116"/>
      <c r="U23" s="116"/>
      <c r="V23" s="116"/>
    </row>
    <row r="24" spans="1:22" s="109" customFormat="1" ht="22.5" customHeight="1" x14ac:dyDescent="0.2">
      <c r="A24" s="223"/>
      <c r="B24" s="224"/>
      <c r="C24" s="225"/>
      <c r="D24" s="115"/>
      <c r="E24" s="115"/>
      <c r="F24" s="115"/>
      <c r="G24" s="115"/>
      <c r="H24" s="115"/>
      <c r="I24" s="63"/>
      <c r="J24" s="63"/>
      <c r="K24" s="63"/>
      <c r="L24" s="63"/>
      <c r="M24" s="63"/>
      <c r="N24" s="63"/>
      <c r="O24" s="63"/>
      <c r="P24" s="63"/>
      <c r="Q24" s="63"/>
      <c r="R24" s="63"/>
      <c r="S24" s="63"/>
      <c r="T24" s="116"/>
      <c r="U24" s="116"/>
      <c r="V24" s="116"/>
    </row>
    <row r="25" spans="1:22" s="109" customFormat="1" ht="58.5" customHeight="1" x14ac:dyDescent="0.2">
      <c r="A25" s="180" t="s">
        <v>16</v>
      </c>
      <c r="B25" s="57" t="s">
        <v>219</v>
      </c>
      <c r="C25" s="119" t="s">
        <v>459</v>
      </c>
      <c r="D25" s="115"/>
      <c r="E25" s="115"/>
      <c r="F25" s="115"/>
      <c r="G25" s="115"/>
      <c r="H25" s="63"/>
      <c r="I25" s="63"/>
      <c r="J25" s="63"/>
      <c r="K25" s="63"/>
      <c r="L25" s="63"/>
      <c r="M25" s="63"/>
      <c r="N25" s="63"/>
      <c r="O25" s="63"/>
      <c r="P25" s="63"/>
      <c r="Q25" s="63"/>
      <c r="R25" s="63"/>
      <c r="S25" s="116"/>
      <c r="T25" s="116"/>
      <c r="U25" s="116"/>
      <c r="V25" s="116"/>
    </row>
    <row r="26" spans="1:22" s="109" customFormat="1" ht="42.75" customHeight="1" x14ac:dyDescent="0.2">
      <c r="A26" s="180" t="s">
        <v>15</v>
      </c>
      <c r="B26" s="57" t="s">
        <v>28</v>
      </c>
      <c r="C26" s="119" t="s">
        <v>460</v>
      </c>
      <c r="D26" s="115"/>
      <c r="E26" s="115"/>
      <c r="F26" s="115"/>
      <c r="G26" s="115"/>
      <c r="H26" s="63"/>
      <c r="I26" s="63"/>
      <c r="J26" s="63"/>
      <c r="K26" s="63"/>
      <c r="L26" s="63"/>
      <c r="M26" s="63"/>
      <c r="N26" s="63"/>
      <c r="O26" s="63"/>
      <c r="P26" s="63"/>
      <c r="Q26" s="63"/>
      <c r="R26" s="63"/>
      <c r="S26" s="116"/>
      <c r="T26" s="116"/>
      <c r="U26" s="116"/>
      <c r="V26" s="116"/>
    </row>
    <row r="27" spans="1:22" s="109" customFormat="1" ht="51.75" customHeight="1" x14ac:dyDescent="0.2">
      <c r="A27" s="180" t="s">
        <v>13</v>
      </c>
      <c r="B27" s="57" t="s">
        <v>27</v>
      </c>
      <c r="C27" s="119" t="s">
        <v>461</v>
      </c>
      <c r="D27" s="115"/>
      <c r="E27" s="115"/>
      <c r="F27" s="115"/>
      <c r="G27" s="115"/>
      <c r="H27" s="63"/>
      <c r="I27" s="63"/>
      <c r="J27" s="63"/>
      <c r="K27" s="63"/>
      <c r="L27" s="63"/>
      <c r="M27" s="63"/>
      <c r="N27" s="63"/>
      <c r="O27" s="63"/>
      <c r="P27" s="63"/>
      <c r="Q27" s="63"/>
      <c r="R27" s="63"/>
      <c r="S27" s="116"/>
      <c r="T27" s="116"/>
      <c r="U27" s="116"/>
      <c r="V27" s="116"/>
    </row>
    <row r="28" spans="1:22" s="109" customFormat="1" ht="42.75" customHeight="1" x14ac:dyDescent="0.2">
      <c r="A28" s="180" t="s">
        <v>12</v>
      </c>
      <c r="B28" s="57" t="s">
        <v>220</v>
      </c>
      <c r="C28" s="119" t="s">
        <v>252</v>
      </c>
      <c r="D28" s="115"/>
      <c r="E28" s="115"/>
      <c r="F28" s="115"/>
      <c r="G28" s="115"/>
      <c r="H28" s="63"/>
      <c r="I28" s="63"/>
      <c r="J28" s="63"/>
      <c r="K28" s="63"/>
      <c r="L28" s="63"/>
      <c r="M28" s="63"/>
      <c r="N28" s="63"/>
      <c r="O28" s="63"/>
      <c r="P28" s="63"/>
      <c r="Q28" s="63"/>
      <c r="R28" s="63"/>
      <c r="S28" s="116"/>
      <c r="T28" s="116"/>
      <c r="U28" s="116"/>
      <c r="V28" s="116"/>
    </row>
    <row r="29" spans="1:22" s="109" customFormat="1" ht="51.75" customHeight="1" x14ac:dyDescent="0.2">
      <c r="A29" s="180" t="s">
        <v>10</v>
      </c>
      <c r="B29" s="57" t="s">
        <v>221</v>
      </c>
      <c r="C29" s="119" t="s">
        <v>252</v>
      </c>
      <c r="D29" s="115"/>
      <c r="E29" s="115"/>
      <c r="F29" s="115"/>
      <c r="G29" s="115"/>
      <c r="H29" s="63"/>
      <c r="I29" s="63"/>
      <c r="J29" s="63"/>
      <c r="K29" s="63"/>
      <c r="L29" s="63"/>
      <c r="M29" s="63"/>
      <c r="N29" s="63"/>
      <c r="O29" s="63"/>
      <c r="P29" s="63"/>
      <c r="Q29" s="63"/>
      <c r="R29" s="63"/>
      <c r="S29" s="116"/>
      <c r="T29" s="116"/>
      <c r="U29" s="116"/>
      <c r="V29" s="116"/>
    </row>
    <row r="30" spans="1:22" s="109" customFormat="1" ht="51.75" customHeight="1" x14ac:dyDescent="0.2">
      <c r="A30" s="180" t="s">
        <v>8</v>
      </c>
      <c r="B30" s="57" t="s">
        <v>222</v>
      </c>
      <c r="C30" s="119" t="s">
        <v>252</v>
      </c>
      <c r="D30" s="115"/>
      <c r="E30" s="115"/>
      <c r="F30" s="115"/>
      <c r="G30" s="115"/>
      <c r="H30" s="63"/>
      <c r="I30" s="63"/>
      <c r="J30" s="63"/>
      <c r="K30" s="63"/>
      <c r="L30" s="63"/>
      <c r="M30" s="63"/>
      <c r="N30" s="63"/>
      <c r="O30" s="63"/>
      <c r="P30" s="63"/>
      <c r="Q30" s="63"/>
      <c r="R30" s="63"/>
      <c r="S30" s="116"/>
      <c r="T30" s="116"/>
      <c r="U30" s="116"/>
      <c r="V30" s="116"/>
    </row>
    <row r="31" spans="1:22" s="109" customFormat="1" ht="51.75" customHeight="1" x14ac:dyDescent="0.2">
      <c r="A31" s="180" t="s">
        <v>26</v>
      </c>
      <c r="B31" s="57" t="s">
        <v>223</v>
      </c>
      <c r="C31" s="119" t="s">
        <v>252</v>
      </c>
      <c r="D31" s="115"/>
      <c r="E31" s="115"/>
      <c r="F31" s="115"/>
      <c r="G31" s="115"/>
      <c r="H31" s="63"/>
      <c r="I31" s="63"/>
      <c r="J31" s="63"/>
      <c r="K31" s="63"/>
      <c r="L31" s="63"/>
      <c r="M31" s="63"/>
      <c r="N31" s="63"/>
      <c r="O31" s="63"/>
      <c r="P31" s="63"/>
      <c r="Q31" s="63"/>
      <c r="R31" s="63"/>
      <c r="S31" s="116"/>
      <c r="T31" s="116"/>
      <c r="U31" s="116"/>
      <c r="V31" s="116"/>
    </row>
    <row r="32" spans="1:22" s="109" customFormat="1" ht="51.75" customHeight="1" x14ac:dyDescent="0.2">
      <c r="A32" s="180" t="s">
        <v>24</v>
      </c>
      <c r="B32" s="57" t="s">
        <v>224</v>
      </c>
      <c r="C32" s="119" t="s">
        <v>252</v>
      </c>
      <c r="D32" s="115"/>
      <c r="E32" s="115"/>
      <c r="F32" s="115"/>
      <c r="G32" s="115"/>
      <c r="H32" s="63"/>
      <c r="I32" s="63"/>
      <c r="J32" s="63"/>
      <c r="K32" s="63"/>
      <c r="L32" s="63"/>
      <c r="M32" s="63"/>
      <c r="N32" s="63"/>
      <c r="O32" s="63"/>
      <c r="P32" s="63"/>
      <c r="Q32" s="63"/>
      <c r="R32" s="63"/>
      <c r="S32" s="116"/>
      <c r="T32" s="116"/>
      <c r="U32" s="116"/>
      <c r="V32" s="116"/>
    </row>
    <row r="33" spans="1:22" s="109" customFormat="1" ht="101.25" customHeight="1" x14ac:dyDescent="0.2">
      <c r="A33" s="180" t="s">
        <v>23</v>
      </c>
      <c r="B33" s="57" t="s">
        <v>225</v>
      </c>
      <c r="C33" s="119" t="s">
        <v>462</v>
      </c>
      <c r="D33" s="115"/>
      <c r="E33" s="115"/>
      <c r="F33" s="115"/>
      <c r="G33" s="115"/>
      <c r="H33" s="63"/>
      <c r="I33" s="63"/>
      <c r="J33" s="63"/>
      <c r="K33" s="63"/>
      <c r="L33" s="63"/>
      <c r="M33" s="63"/>
      <c r="N33" s="63"/>
      <c r="O33" s="63"/>
      <c r="P33" s="63"/>
      <c r="Q33" s="63"/>
      <c r="R33" s="63"/>
      <c r="S33" s="116"/>
      <c r="T33" s="116"/>
      <c r="U33" s="116"/>
      <c r="V33" s="116"/>
    </row>
    <row r="34" spans="1:22" ht="111" customHeight="1" x14ac:dyDescent="0.25">
      <c r="A34" s="180" t="s">
        <v>233</v>
      </c>
      <c r="B34" s="57" t="s">
        <v>226</v>
      </c>
      <c r="C34" s="119" t="s">
        <v>252</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180" t="s">
        <v>229</v>
      </c>
      <c r="B35" s="57" t="s">
        <v>25</v>
      </c>
      <c r="C35" s="119" t="s">
        <v>252</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180" t="s">
        <v>234</v>
      </c>
      <c r="B36" s="57" t="s">
        <v>227</v>
      </c>
      <c r="C36" s="119" t="s">
        <v>252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180" t="s">
        <v>230</v>
      </c>
      <c r="B37" s="57" t="s">
        <v>228</v>
      </c>
      <c r="C37" s="119" t="s">
        <v>252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180" t="s">
        <v>235</v>
      </c>
      <c r="B38" s="57" t="s">
        <v>138</v>
      </c>
      <c r="C38" s="119" t="s">
        <v>252</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23"/>
      <c r="B39" s="224"/>
      <c r="C39" s="225"/>
      <c r="D39" s="96"/>
      <c r="E39" s="96"/>
      <c r="F39" s="96"/>
      <c r="G39" s="96"/>
      <c r="H39" s="96"/>
      <c r="I39" s="96"/>
      <c r="J39" s="96"/>
      <c r="K39" s="96"/>
      <c r="L39" s="96"/>
      <c r="M39" s="96"/>
      <c r="N39" s="96"/>
      <c r="O39" s="96"/>
      <c r="P39" s="96"/>
      <c r="Q39" s="96"/>
      <c r="R39" s="96"/>
      <c r="S39" s="96"/>
      <c r="T39" s="96"/>
      <c r="U39" s="96"/>
      <c r="V39" s="96"/>
    </row>
    <row r="40" spans="1:22" ht="69" customHeight="1" x14ac:dyDescent="0.25">
      <c r="A40" s="180" t="s">
        <v>231</v>
      </c>
      <c r="B40" s="57" t="s">
        <v>446</v>
      </c>
      <c r="C40" s="119" t="s">
        <v>314</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58" t="s">
        <v>236</v>
      </c>
      <c r="B41" s="59" t="s">
        <v>285</v>
      </c>
      <c r="C41" s="119" t="s">
        <v>252</v>
      </c>
      <c r="D41" s="96"/>
      <c r="E41" s="96"/>
      <c r="F41" s="96"/>
      <c r="G41" s="96"/>
      <c r="H41" s="96"/>
      <c r="I41" s="96"/>
      <c r="J41" s="96"/>
      <c r="K41" s="96"/>
      <c r="L41" s="96"/>
      <c r="M41" s="96"/>
      <c r="N41" s="96"/>
      <c r="O41" s="96"/>
      <c r="P41" s="96"/>
      <c r="Q41" s="96"/>
      <c r="R41" s="96"/>
      <c r="S41" s="96"/>
      <c r="T41" s="96"/>
      <c r="U41" s="96"/>
      <c r="V41" s="96"/>
    </row>
    <row r="42" spans="1:22" ht="81" customHeight="1" x14ac:dyDescent="0.25">
      <c r="A42" s="58" t="s">
        <v>232</v>
      </c>
      <c r="B42" s="59" t="s">
        <v>286</v>
      </c>
      <c r="C42" s="119" t="s">
        <v>466</v>
      </c>
      <c r="D42" s="96"/>
      <c r="E42" s="96"/>
      <c r="F42" s="96"/>
      <c r="G42" s="96"/>
      <c r="H42" s="96"/>
      <c r="I42" s="96"/>
      <c r="J42" s="96"/>
      <c r="K42" s="96"/>
      <c r="L42" s="96"/>
      <c r="M42" s="96"/>
      <c r="N42" s="96"/>
      <c r="O42" s="96"/>
      <c r="P42" s="96"/>
      <c r="Q42" s="96"/>
      <c r="R42" s="96"/>
      <c r="S42" s="96"/>
      <c r="T42" s="96"/>
      <c r="U42" s="96"/>
      <c r="V42" s="96"/>
    </row>
    <row r="43" spans="1:22" ht="159.6" customHeight="1" x14ac:dyDescent="0.25">
      <c r="A43" s="58" t="s">
        <v>253</v>
      </c>
      <c r="B43" s="59" t="s">
        <v>287</v>
      </c>
      <c r="C43" s="119" t="s">
        <v>252</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58" t="s">
        <v>262</v>
      </c>
      <c r="B44" s="59" t="s">
        <v>288</v>
      </c>
      <c r="C44" s="119" t="s">
        <v>252</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58" t="s">
        <v>289</v>
      </c>
      <c r="B45" s="59" t="s">
        <v>290</v>
      </c>
      <c r="C45" s="119" t="s">
        <v>252</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58" t="s">
        <v>291</v>
      </c>
      <c r="B46" s="59" t="s">
        <v>245</v>
      </c>
      <c r="C46" s="119" t="s">
        <v>463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58"/>
      <c r="B47" s="59"/>
      <c r="C47" s="60"/>
      <c r="D47" s="96"/>
      <c r="E47" s="96"/>
      <c r="F47" s="96"/>
      <c r="G47" s="96"/>
      <c r="H47" s="96"/>
      <c r="I47" s="96"/>
      <c r="J47" s="96"/>
      <c r="K47" s="96"/>
      <c r="L47" s="96"/>
      <c r="M47" s="96"/>
      <c r="N47" s="96"/>
      <c r="O47" s="96"/>
      <c r="P47" s="96"/>
      <c r="Q47" s="96"/>
      <c r="R47" s="96"/>
      <c r="S47" s="96"/>
      <c r="T47" s="96"/>
      <c r="U47" s="96"/>
      <c r="V47" s="96"/>
    </row>
    <row r="48" spans="1:22" ht="73.5" customHeight="1" x14ac:dyDescent="0.25">
      <c r="A48" s="58" t="s">
        <v>292</v>
      </c>
      <c r="B48" s="59" t="s">
        <v>248</v>
      </c>
      <c r="C48" s="147" t="str">
        <f>'6.2. Паспорт фин осв ввод'!C24</f>
        <v>нд</v>
      </c>
      <c r="D48" s="96"/>
      <c r="E48" s="96"/>
      <c r="F48" s="96"/>
      <c r="G48" s="96"/>
      <c r="H48" s="96"/>
      <c r="I48" s="96"/>
      <c r="J48" s="96"/>
      <c r="K48" s="96"/>
      <c r="L48" s="96"/>
      <c r="M48" s="96"/>
      <c r="N48" s="96"/>
      <c r="O48" s="96"/>
      <c r="P48" s="96"/>
      <c r="Q48" s="96"/>
      <c r="R48" s="96"/>
      <c r="S48" s="96"/>
      <c r="T48" s="96"/>
      <c r="U48" s="96"/>
      <c r="V48" s="96"/>
    </row>
    <row r="49" spans="1:22" ht="81" customHeight="1" x14ac:dyDescent="0.25">
      <c r="A49" s="58" t="s">
        <v>293</v>
      </c>
      <c r="B49" s="59" t="s">
        <v>249</v>
      </c>
      <c r="C49" s="147" t="str">
        <f>'6.2. Паспорт фин осв ввод'!C30</f>
        <v>нд</v>
      </c>
      <c r="D49" s="96"/>
      <c r="E49" s="96"/>
      <c r="F49" s="96"/>
      <c r="G49" s="96"/>
      <c r="H49" s="96"/>
      <c r="I49" s="96"/>
      <c r="J49" s="96"/>
      <c r="K49" s="96"/>
      <c r="L49" s="96"/>
      <c r="M49" s="96"/>
      <c r="N49" s="96"/>
      <c r="O49" s="96"/>
      <c r="P49" s="96"/>
      <c r="Q49" s="96"/>
      <c r="R49" s="96"/>
      <c r="S49" s="96"/>
      <c r="T49" s="96"/>
      <c r="U49" s="96"/>
      <c r="V49" s="96"/>
    </row>
    <row r="50" spans="1:22" x14ac:dyDescent="0.25">
      <c r="A50" s="181"/>
      <c r="B50" s="96"/>
      <c r="C50" s="96"/>
      <c r="D50" s="96"/>
      <c r="E50" s="96"/>
      <c r="F50" s="96"/>
      <c r="G50" s="96"/>
      <c r="H50" s="96"/>
      <c r="I50" s="96"/>
      <c r="J50" s="96"/>
      <c r="K50" s="96"/>
      <c r="L50" s="96"/>
      <c r="M50" s="96"/>
      <c r="N50" s="96"/>
      <c r="O50" s="96"/>
      <c r="P50" s="96"/>
      <c r="Q50" s="96"/>
      <c r="R50" s="96"/>
      <c r="S50" s="96"/>
      <c r="T50" s="96"/>
      <c r="U50" s="96"/>
      <c r="V50" s="96"/>
    </row>
    <row r="51" spans="1:22" x14ac:dyDescent="0.25">
      <c r="A51" s="181"/>
      <c r="B51" s="96"/>
      <c r="C51" s="96"/>
      <c r="D51" s="96"/>
      <c r="E51" s="96"/>
      <c r="F51" s="96"/>
      <c r="G51" s="96"/>
      <c r="H51" s="96"/>
      <c r="I51" s="96"/>
      <c r="J51" s="96"/>
      <c r="K51" s="96"/>
      <c r="L51" s="96"/>
      <c r="M51" s="96"/>
      <c r="N51" s="96"/>
      <c r="O51" s="96"/>
      <c r="P51" s="96"/>
      <c r="Q51" s="96"/>
      <c r="R51" s="96"/>
      <c r="S51" s="96"/>
      <c r="T51" s="96"/>
      <c r="U51" s="96"/>
      <c r="V51" s="96"/>
    </row>
    <row r="52" spans="1:22" x14ac:dyDescent="0.25">
      <c r="A52" s="181"/>
      <c r="B52" s="96"/>
      <c r="C52" s="96"/>
      <c r="D52" s="96"/>
      <c r="E52" s="96"/>
      <c r="F52" s="96"/>
      <c r="G52" s="96"/>
      <c r="H52" s="96"/>
      <c r="I52" s="96"/>
      <c r="J52" s="96"/>
      <c r="K52" s="96"/>
      <c r="L52" s="96"/>
      <c r="M52" s="96"/>
      <c r="N52" s="96"/>
      <c r="O52" s="96"/>
      <c r="P52" s="96"/>
      <c r="Q52" s="96"/>
      <c r="R52" s="96"/>
      <c r="S52" s="96"/>
      <c r="T52" s="96"/>
      <c r="U52" s="96"/>
      <c r="V52" s="96"/>
    </row>
    <row r="53" spans="1:22" x14ac:dyDescent="0.25">
      <c r="A53" s="181"/>
      <c r="B53" s="96"/>
      <c r="C53" s="96"/>
      <c r="D53" s="96"/>
      <c r="E53" s="96"/>
      <c r="F53" s="96"/>
      <c r="G53" s="96"/>
      <c r="H53" s="96"/>
      <c r="I53" s="96"/>
      <c r="J53" s="96"/>
      <c r="K53" s="96"/>
      <c r="L53" s="96"/>
      <c r="M53" s="96"/>
      <c r="N53" s="96"/>
      <c r="O53" s="96"/>
      <c r="P53" s="96"/>
      <c r="Q53" s="96"/>
      <c r="R53" s="96"/>
      <c r="S53" s="96"/>
      <c r="T53" s="96"/>
      <c r="U53" s="96"/>
      <c r="V53" s="96"/>
    </row>
    <row r="54" spans="1:22" x14ac:dyDescent="0.25">
      <c r="A54" s="181"/>
      <c r="B54" s="96"/>
      <c r="C54" s="96"/>
      <c r="D54" s="96"/>
      <c r="E54" s="96"/>
      <c r="F54" s="96"/>
      <c r="G54" s="96"/>
      <c r="H54" s="96"/>
      <c r="I54" s="96"/>
      <c r="J54" s="96"/>
      <c r="K54" s="96"/>
      <c r="L54" s="96"/>
      <c r="M54" s="96"/>
      <c r="N54" s="96"/>
      <c r="O54" s="96"/>
      <c r="P54" s="96"/>
      <c r="Q54" s="96"/>
      <c r="R54" s="96"/>
      <c r="S54" s="96"/>
      <c r="T54" s="96"/>
      <c r="U54" s="96"/>
      <c r="V54" s="96"/>
    </row>
    <row r="55" spans="1:22" x14ac:dyDescent="0.25">
      <c r="A55" s="181"/>
      <c r="B55" s="96"/>
      <c r="C55" s="96"/>
      <c r="D55" s="96"/>
      <c r="E55" s="96"/>
      <c r="F55" s="96"/>
      <c r="G55" s="96"/>
      <c r="H55" s="96"/>
      <c r="I55" s="96"/>
      <c r="J55" s="96"/>
      <c r="K55" s="96"/>
      <c r="L55" s="96"/>
      <c r="M55" s="96"/>
      <c r="N55" s="96"/>
      <c r="O55" s="96"/>
      <c r="P55" s="96"/>
      <c r="Q55" s="96"/>
      <c r="R55" s="96"/>
      <c r="S55" s="96"/>
      <c r="T55" s="96"/>
      <c r="U55" s="96"/>
      <c r="V55" s="96"/>
    </row>
    <row r="56" spans="1:22" x14ac:dyDescent="0.25">
      <c r="A56" s="181"/>
      <c r="B56" s="96"/>
      <c r="C56" s="96"/>
      <c r="D56" s="96"/>
      <c r="E56" s="96"/>
      <c r="F56" s="96"/>
      <c r="G56" s="96"/>
      <c r="H56" s="96"/>
      <c r="I56" s="96"/>
      <c r="J56" s="96"/>
      <c r="K56" s="96"/>
      <c r="L56" s="96"/>
      <c r="M56" s="96"/>
      <c r="N56" s="96"/>
      <c r="O56" s="96"/>
      <c r="P56" s="96"/>
      <c r="Q56" s="96"/>
      <c r="R56" s="96"/>
      <c r="S56" s="96"/>
      <c r="T56" s="96"/>
      <c r="U56" s="96"/>
      <c r="V56" s="96"/>
    </row>
    <row r="57" spans="1:22" x14ac:dyDescent="0.25">
      <c r="A57" s="181"/>
      <c r="B57" s="96"/>
      <c r="C57" s="96"/>
      <c r="D57" s="96"/>
      <c r="E57" s="96"/>
      <c r="F57" s="96"/>
      <c r="G57" s="96"/>
      <c r="H57" s="96"/>
      <c r="I57" s="96"/>
      <c r="J57" s="96"/>
      <c r="K57" s="96"/>
      <c r="L57" s="96"/>
      <c r="M57" s="96"/>
      <c r="N57" s="96"/>
      <c r="O57" s="96"/>
      <c r="P57" s="96"/>
      <c r="Q57" s="96"/>
      <c r="R57" s="96"/>
      <c r="S57" s="96"/>
      <c r="T57" s="96"/>
      <c r="U57" s="96"/>
      <c r="V57" s="96"/>
    </row>
    <row r="58" spans="1:22" x14ac:dyDescent="0.25">
      <c r="A58" s="181"/>
      <c r="B58" s="96"/>
      <c r="C58" s="96"/>
      <c r="D58" s="96"/>
      <c r="E58" s="96"/>
      <c r="F58" s="96"/>
      <c r="G58" s="96"/>
      <c r="H58" s="96"/>
      <c r="I58" s="96"/>
      <c r="J58" s="96"/>
      <c r="K58" s="96"/>
      <c r="L58" s="96"/>
      <c r="M58" s="96"/>
      <c r="N58" s="96"/>
      <c r="O58" s="96"/>
      <c r="P58" s="96"/>
      <c r="Q58" s="96"/>
      <c r="R58" s="96"/>
      <c r="S58" s="96"/>
      <c r="T58" s="96"/>
      <c r="U58" s="96"/>
      <c r="V58" s="96"/>
    </row>
    <row r="59" spans="1:22" x14ac:dyDescent="0.25">
      <c r="A59" s="181"/>
      <c r="B59" s="96"/>
      <c r="C59" s="96"/>
      <c r="D59" s="96"/>
      <c r="E59" s="96"/>
      <c r="F59" s="96"/>
      <c r="G59" s="96"/>
      <c r="H59" s="96"/>
      <c r="I59" s="96"/>
      <c r="J59" s="96"/>
      <c r="K59" s="96"/>
      <c r="L59" s="96"/>
      <c r="M59" s="96"/>
      <c r="N59" s="96"/>
      <c r="O59" s="96"/>
      <c r="P59" s="96"/>
      <c r="Q59" s="96"/>
      <c r="R59" s="96"/>
      <c r="S59" s="96"/>
      <c r="T59" s="96"/>
      <c r="U59" s="96"/>
      <c r="V59" s="96"/>
    </row>
    <row r="60" spans="1:22" x14ac:dyDescent="0.25">
      <c r="A60" s="181"/>
      <c r="B60" s="96"/>
      <c r="C60" s="96"/>
      <c r="D60" s="96"/>
      <c r="E60" s="96"/>
      <c r="F60" s="96"/>
      <c r="G60" s="96"/>
      <c r="H60" s="96"/>
      <c r="I60" s="96"/>
      <c r="J60" s="96"/>
      <c r="K60" s="96"/>
      <c r="L60" s="96"/>
      <c r="M60" s="96"/>
      <c r="N60" s="96"/>
      <c r="O60" s="96"/>
      <c r="P60" s="96"/>
      <c r="Q60" s="96"/>
      <c r="R60" s="96"/>
      <c r="S60" s="96"/>
      <c r="T60" s="96"/>
      <c r="U60" s="96"/>
      <c r="V60" s="96"/>
    </row>
    <row r="61" spans="1:22" x14ac:dyDescent="0.25">
      <c r="A61" s="181"/>
      <c r="B61" s="96"/>
      <c r="C61" s="96"/>
      <c r="D61" s="96"/>
      <c r="E61" s="96"/>
      <c r="F61" s="96"/>
      <c r="G61" s="96"/>
      <c r="H61" s="96"/>
      <c r="I61" s="96"/>
      <c r="J61" s="96"/>
      <c r="K61" s="96"/>
      <c r="L61" s="96"/>
      <c r="M61" s="96"/>
      <c r="N61" s="96"/>
      <c r="O61" s="96"/>
      <c r="P61" s="96"/>
      <c r="Q61" s="96"/>
      <c r="R61" s="96"/>
      <c r="S61" s="96"/>
      <c r="T61" s="96"/>
      <c r="U61" s="96"/>
      <c r="V61" s="96"/>
    </row>
    <row r="62" spans="1:22" x14ac:dyDescent="0.25">
      <c r="A62" s="181"/>
      <c r="B62" s="96"/>
      <c r="C62" s="96"/>
      <c r="D62" s="96"/>
      <c r="E62" s="96"/>
      <c r="F62" s="96"/>
      <c r="G62" s="96"/>
      <c r="H62" s="96"/>
      <c r="I62" s="96"/>
      <c r="J62" s="96"/>
      <c r="K62" s="96"/>
      <c r="L62" s="96"/>
      <c r="M62" s="96"/>
      <c r="N62" s="96"/>
      <c r="O62" s="96"/>
      <c r="P62" s="96"/>
      <c r="Q62" s="96"/>
      <c r="R62" s="96"/>
      <c r="S62" s="96"/>
      <c r="T62" s="96"/>
      <c r="U62" s="96"/>
      <c r="V62" s="96"/>
    </row>
    <row r="63" spans="1:22" x14ac:dyDescent="0.25">
      <c r="A63" s="181"/>
      <c r="B63" s="96"/>
      <c r="C63" s="96"/>
      <c r="D63" s="96"/>
      <c r="E63" s="96"/>
      <c r="F63" s="96"/>
      <c r="G63" s="96"/>
      <c r="H63" s="96"/>
      <c r="I63" s="96"/>
      <c r="J63" s="96"/>
      <c r="K63" s="96"/>
      <c r="L63" s="96"/>
      <c r="M63" s="96"/>
      <c r="N63" s="96"/>
      <c r="O63" s="96"/>
      <c r="P63" s="96"/>
      <c r="Q63" s="96"/>
      <c r="R63" s="96"/>
      <c r="S63" s="96"/>
      <c r="T63" s="96"/>
      <c r="U63" s="96"/>
      <c r="V63" s="96"/>
    </row>
    <row r="64" spans="1:22" x14ac:dyDescent="0.25">
      <c r="A64" s="181"/>
      <c r="B64" s="96"/>
      <c r="C64" s="96"/>
      <c r="D64" s="96"/>
      <c r="E64" s="96"/>
      <c r="F64" s="96"/>
      <c r="G64" s="96"/>
      <c r="H64" s="96"/>
      <c r="I64" s="96"/>
      <c r="J64" s="96"/>
      <c r="K64" s="96"/>
      <c r="L64" s="96"/>
      <c r="M64" s="96"/>
      <c r="N64" s="96"/>
      <c r="O64" s="96"/>
      <c r="P64" s="96"/>
      <c r="Q64" s="96"/>
      <c r="R64" s="96"/>
      <c r="S64" s="96"/>
      <c r="T64" s="96"/>
      <c r="U64" s="96"/>
      <c r="V64" s="96"/>
    </row>
    <row r="65" spans="1:22" x14ac:dyDescent="0.25">
      <c r="A65" s="181"/>
      <c r="B65" s="96"/>
      <c r="C65" s="96"/>
      <c r="D65" s="96"/>
      <c r="E65" s="96"/>
      <c r="F65" s="96"/>
      <c r="G65" s="96"/>
      <c r="H65" s="96"/>
      <c r="I65" s="96"/>
      <c r="J65" s="96"/>
      <c r="K65" s="96"/>
      <c r="L65" s="96"/>
      <c r="M65" s="96"/>
      <c r="N65" s="96"/>
      <c r="O65" s="96"/>
      <c r="P65" s="96"/>
      <c r="Q65" s="96"/>
      <c r="R65" s="96"/>
      <c r="S65" s="96"/>
      <c r="T65" s="96"/>
      <c r="U65" s="96"/>
      <c r="V65" s="96"/>
    </row>
    <row r="66" spans="1:22" x14ac:dyDescent="0.25">
      <c r="A66" s="181"/>
      <c r="B66" s="96"/>
      <c r="C66" s="96"/>
      <c r="D66" s="96"/>
      <c r="E66" s="96"/>
      <c r="F66" s="96"/>
      <c r="G66" s="96"/>
      <c r="H66" s="96"/>
      <c r="I66" s="96"/>
      <c r="J66" s="96"/>
      <c r="K66" s="96"/>
      <c r="L66" s="96"/>
      <c r="M66" s="96"/>
      <c r="N66" s="96"/>
      <c r="O66" s="96"/>
      <c r="P66" s="96"/>
      <c r="Q66" s="96"/>
      <c r="R66" s="96"/>
      <c r="S66" s="96"/>
      <c r="T66" s="96"/>
      <c r="U66" s="96"/>
      <c r="V66" s="96"/>
    </row>
    <row r="67" spans="1:22" x14ac:dyDescent="0.25">
      <c r="A67" s="181"/>
      <c r="B67" s="96"/>
      <c r="C67" s="96"/>
      <c r="D67" s="96"/>
      <c r="E67" s="96"/>
      <c r="F67" s="96"/>
      <c r="G67" s="96"/>
      <c r="H67" s="96"/>
      <c r="I67" s="96"/>
      <c r="J67" s="96"/>
      <c r="K67" s="96"/>
      <c r="L67" s="96"/>
      <c r="M67" s="96"/>
      <c r="N67" s="96"/>
      <c r="O67" s="96"/>
      <c r="P67" s="96"/>
      <c r="Q67" s="96"/>
      <c r="R67" s="96"/>
      <c r="S67" s="96"/>
      <c r="T67" s="96"/>
      <c r="U67" s="96"/>
      <c r="V67" s="96"/>
    </row>
    <row r="68" spans="1:22" x14ac:dyDescent="0.25">
      <c r="A68" s="181"/>
      <c r="B68" s="96"/>
      <c r="C68" s="96"/>
      <c r="D68" s="96"/>
      <c r="E68" s="96"/>
      <c r="F68" s="96"/>
      <c r="G68" s="96"/>
      <c r="H68" s="96"/>
      <c r="I68" s="96"/>
      <c r="J68" s="96"/>
      <c r="K68" s="96"/>
      <c r="L68" s="96"/>
      <c r="M68" s="96"/>
      <c r="N68" s="96"/>
      <c r="O68" s="96"/>
      <c r="P68" s="96"/>
      <c r="Q68" s="96"/>
      <c r="R68" s="96"/>
      <c r="S68" s="96"/>
      <c r="T68" s="96"/>
      <c r="U68" s="96"/>
      <c r="V68" s="96"/>
    </row>
    <row r="69" spans="1:22" x14ac:dyDescent="0.25">
      <c r="A69" s="181"/>
      <c r="B69" s="96"/>
      <c r="C69" s="96"/>
      <c r="D69" s="96"/>
      <c r="E69" s="96"/>
      <c r="F69" s="96"/>
      <c r="G69" s="96"/>
      <c r="H69" s="96"/>
      <c r="I69" s="96"/>
      <c r="J69" s="96"/>
      <c r="K69" s="96"/>
      <c r="L69" s="96"/>
      <c r="M69" s="96"/>
      <c r="N69" s="96"/>
      <c r="O69" s="96"/>
      <c r="P69" s="96"/>
      <c r="Q69" s="96"/>
      <c r="R69" s="96"/>
      <c r="S69" s="96"/>
      <c r="T69" s="96"/>
      <c r="U69" s="96"/>
      <c r="V69" s="96"/>
    </row>
    <row r="70" spans="1:22" x14ac:dyDescent="0.25">
      <c r="A70" s="181"/>
      <c r="B70" s="96"/>
      <c r="C70" s="96"/>
      <c r="D70" s="96"/>
      <c r="E70" s="96"/>
      <c r="F70" s="96"/>
      <c r="G70" s="96"/>
      <c r="H70" s="96"/>
      <c r="I70" s="96"/>
      <c r="J70" s="96"/>
      <c r="K70" s="96"/>
      <c r="L70" s="96"/>
      <c r="M70" s="96"/>
      <c r="N70" s="96"/>
      <c r="O70" s="96"/>
      <c r="P70" s="96"/>
      <c r="Q70" s="96"/>
      <c r="R70" s="96"/>
      <c r="S70" s="96"/>
      <c r="T70" s="96"/>
      <c r="U70" s="96"/>
      <c r="V70" s="96"/>
    </row>
    <row r="71" spans="1:22" x14ac:dyDescent="0.25">
      <c r="A71" s="181"/>
      <c r="B71" s="96"/>
      <c r="C71" s="96"/>
      <c r="D71" s="96"/>
      <c r="E71" s="96"/>
      <c r="F71" s="96"/>
      <c r="G71" s="96"/>
      <c r="H71" s="96"/>
      <c r="I71" s="96"/>
      <c r="J71" s="96"/>
      <c r="K71" s="96"/>
      <c r="L71" s="96"/>
      <c r="M71" s="96"/>
      <c r="N71" s="96"/>
      <c r="O71" s="96"/>
      <c r="P71" s="96"/>
      <c r="Q71" s="96"/>
      <c r="R71" s="96"/>
      <c r="S71" s="96"/>
      <c r="T71" s="96"/>
      <c r="U71" s="96"/>
      <c r="V71" s="96"/>
    </row>
    <row r="72" spans="1:22" x14ac:dyDescent="0.25">
      <c r="A72" s="181"/>
      <c r="B72" s="96"/>
      <c r="C72" s="96"/>
      <c r="D72" s="96"/>
      <c r="E72" s="96"/>
      <c r="F72" s="96"/>
      <c r="G72" s="96"/>
      <c r="H72" s="96"/>
      <c r="I72" s="96"/>
      <c r="J72" s="96"/>
      <c r="K72" s="96"/>
      <c r="L72" s="96"/>
      <c r="M72" s="96"/>
      <c r="N72" s="96"/>
      <c r="O72" s="96"/>
      <c r="P72" s="96"/>
      <c r="Q72" s="96"/>
      <c r="R72" s="96"/>
      <c r="S72" s="96"/>
      <c r="T72" s="96"/>
      <c r="U72" s="96"/>
      <c r="V72" s="96"/>
    </row>
    <row r="73" spans="1:22" x14ac:dyDescent="0.25">
      <c r="A73" s="181"/>
      <c r="B73" s="96"/>
      <c r="C73" s="96"/>
      <c r="D73" s="96"/>
      <c r="E73" s="96"/>
      <c r="F73" s="96"/>
      <c r="G73" s="96"/>
      <c r="H73" s="96"/>
      <c r="I73" s="96"/>
      <c r="J73" s="96"/>
      <c r="K73" s="96"/>
      <c r="L73" s="96"/>
      <c r="M73" s="96"/>
      <c r="N73" s="96"/>
      <c r="O73" s="96"/>
      <c r="P73" s="96"/>
      <c r="Q73" s="96"/>
      <c r="R73" s="96"/>
      <c r="S73" s="96"/>
      <c r="T73" s="96"/>
      <c r="U73" s="96"/>
      <c r="V73" s="96"/>
    </row>
    <row r="74" spans="1:22" x14ac:dyDescent="0.25">
      <c r="A74" s="181"/>
      <c r="B74" s="96"/>
      <c r="C74" s="96"/>
      <c r="D74" s="96"/>
      <c r="E74" s="96"/>
      <c r="F74" s="96"/>
      <c r="G74" s="96"/>
      <c r="H74" s="96"/>
      <c r="I74" s="96"/>
      <c r="J74" s="96"/>
      <c r="K74" s="96"/>
      <c r="L74" s="96"/>
      <c r="M74" s="96"/>
      <c r="N74" s="96"/>
      <c r="O74" s="96"/>
      <c r="P74" s="96"/>
      <c r="Q74" s="96"/>
      <c r="R74" s="96"/>
      <c r="S74" s="96"/>
      <c r="T74" s="96"/>
      <c r="U74" s="96"/>
      <c r="V74" s="96"/>
    </row>
    <row r="75" spans="1:22" x14ac:dyDescent="0.25">
      <c r="A75" s="181"/>
      <c r="B75" s="96"/>
      <c r="C75" s="96"/>
      <c r="D75" s="96"/>
      <c r="E75" s="96"/>
      <c r="F75" s="96"/>
      <c r="G75" s="96"/>
      <c r="H75" s="96"/>
      <c r="I75" s="96"/>
      <c r="J75" s="96"/>
      <c r="K75" s="96"/>
      <c r="L75" s="96"/>
      <c r="M75" s="96"/>
      <c r="N75" s="96"/>
      <c r="O75" s="96"/>
      <c r="P75" s="96"/>
      <c r="Q75" s="96"/>
      <c r="R75" s="96"/>
      <c r="S75" s="96"/>
      <c r="T75" s="96"/>
      <c r="U75" s="96"/>
      <c r="V75" s="96"/>
    </row>
    <row r="76" spans="1:22" x14ac:dyDescent="0.25">
      <c r="A76" s="181"/>
      <c r="B76" s="96"/>
      <c r="C76" s="96"/>
      <c r="D76" s="96"/>
      <c r="E76" s="96"/>
      <c r="F76" s="96"/>
      <c r="G76" s="96"/>
      <c r="H76" s="96"/>
      <c r="I76" s="96"/>
      <c r="J76" s="96"/>
      <c r="K76" s="96"/>
      <c r="L76" s="96"/>
      <c r="M76" s="96"/>
      <c r="N76" s="96"/>
      <c r="O76" s="96"/>
      <c r="P76" s="96"/>
      <c r="Q76" s="96"/>
      <c r="R76" s="96"/>
      <c r="S76" s="96"/>
      <c r="T76" s="96"/>
      <c r="U76" s="96"/>
      <c r="V76" s="96"/>
    </row>
    <row r="77" spans="1:22" x14ac:dyDescent="0.25">
      <c r="A77" s="181"/>
      <c r="B77" s="96"/>
      <c r="C77" s="96"/>
      <c r="D77" s="96"/>
      <c r="E77" s="96"/>
      <c r="F77" s="96"/>
      <c r="G77" s="96"/>
      <c r="H77" s="96"/>
      <c r="I77" s="96"/>
      <c r="J77" s="96"/>
      <c r="K77" s="96"/>
      <c r="L77" s="96"/>
      <c r="M77" s="96"/>
      <c r="N77" s="96"/>
      <c r="O77" s="96"/>
      <c r="P77" s="96"/>
      <c r="Q77" s="96"/>
      <c r="R77" s="96"/>
      <c r="S77" s="96"/>
      <c r="T77" s="96"/>
      <c r="U77" s="96"/>
      <c r="V77" s="96"/>
    </row>
    <row r="78" spans="1:22" x14ac:dyDescent="0.25">
      <c r="A78" s="181"/>
      <c r="B78" s="96"/>
      <c r="C78" s="96"/>
      <c r="D78" s="96"/>
      <c r="E78" s="96"/>
      <c r="F78" s="96"/>
      <c r="G78" s="96"/>
      <c r="H78" s="96"/>
      <c r="I78" s="96"/>
      <c r="J78" s="96"/>
      <c r="K78" s="96"/>
      <c r="L78" s="96"/>
      <c r="M78" s="96"/>
      <c r="N78" s="96"/>
      <c r="O78" s="96"/>
      <c r="P78" s="96"/>
      <c r="Q78" s="96"/>
      <c r="R78" s="96"/>
      <c r="S78" s="96"/>
      <c r="T78" s="96"/>
      <c r="U78" s="96"/>
      <c r="V78" s="96"/>
    </row>
    <row r="79" spans="1:22" x14ac:dyDescent="0.25">
      <c r="A79" s="181"/>
      <c r="B79" s="96"/>
      <c r="C79" s="96"/>
      <c r="D79" s="96"/>
      <c r="E79" s="96"/>
      <c r="F79" s="96"/>
      <c r="G79" s="96"/>
      <c r="H79" s="96"/>
      <c r="I79" s="96"/>
      <c r="J79" s="96"/>
      <c r="K79" s="96"/>
      <c r="L79" s="96"/>
      <c r="M79" s="96"/>
      <c r="N79" s="96"/>
      <c r="O79" s="96"/>
      <c r="P79" s="96"/>
      <c r="Q79" s="96"/>
      <c r="R79" s="96"/>
      <c r="S79" s="96"/>
      <c r="T79" s="96"/>
      <c r="U79" s="96"/>
      <c r="V79" s="96"/>
    </row>
    <row r="80" spans="1:22" x14ac:dyDescent="0.25">
      <c r="A80" s="181"/>
      <c r="B80" s="96"/>
      <c r="C80" s="96"/>
      <c r="D80" s="96"/>
      <c r="E80" s="96"/>
      <c r="F80" s="96"/>
      <c r="G80" s="96"/>
      <c r="H80" s="96"/>
      <c r="I80" s="96"/>
      <c r="J80" s="96"/>
      <c r="K80" s="96"/>
      <c r="L80" s="96"/>
      <c r="M80" s="96"/>
      <c r="N80" s="96"/>
      <c r="O80" s="96"/>
      <c r="P80" s="96"/>
      <c r="Q80" s="96"/>
      <c r="R80" s="96"/>
      <c r="S80" s="96"/>
      <c r="T80" s="96"/>
      <c r="U80" s="96"/>
      <c r="V80" s="96"/>
    </row>
    <row r="81" spans="1:22" x14ac:dyDescent="0.25">
      <c r="A81" s="181"/>
      <c r="B81" s="96"/>
      <c r="C81" s="96"/>
      <c r="D81" s="96"/>
      <c r="E81" s="96"/>
      <c r="F81" s="96"/>
      <c r="G81" s="96"/>
      <c r="H81" s="96"/>
      <c r="I81" s="96"/>
      <c r="J81" s="96"/>
      <c r="K81" s="96"/>
      <c r="L81" s="96"/>
      <c r="M81" s="96"/>
      <c r="N81" s="96"/>
      <c r="O81" s="96"/>
      <c r="P81" s="96"/>
      <c r="Q81" s="96"/>
      <c r="R81" s="96"/>
      <c r="S81" s="96"/>
      <c r="T81" s="96"/>
      <c r="U81" s="96"/>
      <c r="V81" s="96"/>
    </row>
    <row r="82" spans="1:22" x14ac:dyDescent="0.25">
      <c r="A82" s="181"/>
      <c r="B82" s="96"/>
      <c r="C82" s="96"/>
      <c r="D82" s="96"/>
      <c r="E82" s="96"/>
      <c r="F82" s="96"/>
      <c r="G82" s="96"/>
      <c r="H82" s="96"/>
      <c r="I82" s="96"/>
      <c r="J82" s="96"/>
      <c r="K82" s="96"/>
      <c r="L82" s="96"/>
      <c r="M82" s="96"/>
      <c r="N82" s="96"/>
      <c r="O82" s="96"/>
      <c r="P82" s="96"/>
      <c r="Q82" s="96"/>
      <c r="R82" s="96"/>
      <c r="S82" s="96"/>
      <c r="T82" s="96"/>
      <c r="U82" s="96"/>
      <c r="V82" s="96"/>
    </row>
    <row r="83" spans="1:22" x14ac:dyDescent="0.25">
      <c r="A83" s="181"/>
      <c r="B83" s="96"/>
      <c r="C83" s="96"/>
      <c r="D83" s="96"/>
      <c r="E83" s="96"/>
      <c r="F83" s="96"/>
      <c r="G83" s="96"/>
      <c r="H83" s="96"/>
      <c r="I83" s="96"/>
      <c r="J83" s="96"/>
      <c r="K83" s="96"/>
      <c r="L83" s="96"/>
      <c r="M83" s="96"/>
      <c r="N83" s="96"/>
      <c r="O83" s="96"/>
      <c r="P83" s="96"/>
      <c r="Q83" s="96"/>
      <c r="R83" s="96"/>
      <c r="S83" s="96"/>
      <c r="T83" s="96"/>
      <c r="U83" s="96"/>
      <c r="V83" s="96"/>
    </row>
    <row r="84" spans="1:22" x14ac:dyDescent="0.25">
      <c r="A84" s="181"/>
      <c r="B84" s="96"/>
      <c r="C84" s="96"/>
      <c r="D84" s="96"/>
      <c r="E84" s="96"/>
      <c r="F84" s="96"/>
      <c r="G84" s="96"/>
      <c r="H84" s="96"/>
      <c r="I84" s="96"/>
      <c r="J84" s="96"/>
      <c r="K84" s="96"/>
      <c r="L84" s="96"/>
      <c r="M84" s="96"/>
      <c r="N84" s="96"/>
      <c r="O84" s="96"/>
      <c r="P84" s="96"/>
      <c r="Q84" s="96"/>
      <c r="R84" s="96"/>
      <c r="S84" s="96"/>
      <c r="T84" s="96"/>
      <c r="U84" s="96"/>
      <c r="V84" s="96"/>
    </row>
    <row r="85" spans="1:22" x14ac:dyDescent="0.25">
      <c r="A85" s="181"/>
      <c r="B85" s="96"/>
      <c r="C85" s="96"/>
      <c r="D85" s="96"/>
      <c r="E85" s="96"/>
      <c r="F85" s="96"/>
      <c r="G85" s="96"/>
      <c r="H85" s="96"/>
      <c r="I85" s="96"/>
      <c r="J85" s="96"/>
      <c r="K85" s="96"/>
      <c r="L85" s="96"/>
      <c r="M85" s="96"/>
      <c r="N85" s="96"/>
      <c r="O85" s="96"/>
      <c r="P85" s="96"/>
      <c r="Q85" s="96"/>
      <c r="R85" s="96"/>
      <c r="S85" s="96"/>
      <c r="T85" s="96"/>
      <c r="U85" s="96"/>
      <c r="V85" s="96"/>
    </row>
    <row r="86" spans="1:22" x14ac:dyDescent="0.25">
      <c r="A86" s="181"/>
      <c r="B86" s="96"/>
      <c r="C86" s="96"/>
      <c r="D86" s="96"/>
      <c r="E86" s="96"/>
      <c r="F86" s="96"/>
      <c r="G86" s="96"/>
      <c r="H86" s="96"/>
      <c r="I86" s="96"/>
      <c r="J86" s="96"/>
      <c r="K86" s="96"/>
      <c r="L86" s="96"/>
      <c r="M86" s="96"/>
      <c r="N86" s="96"/>
      <c r="O86" s="96"/>
      <c r="P86" s="96"/>
      <c r="Q86" s="96"/>
      <c r="R86" s="96"/>
      <c r="S86" s="96"/>
      <c r="T86" s="96"/>
      <c r="U86" s="96"/>
      <c r="V86" s="96"/>
    </row>
    <row r="87" spans="1:22" x14ac:dyDescent="0.25">
      <c r="A87" s="181"/>
      <c r="B87" s="96"/>
      <c r="C87" s="96"/>
      <c r="D87" s="96"/>
      <c r="E87" s="96"/>
      <c r="F87" s="96"/>
      <c r="G87" s="96"/>
      <c r="H87" s="96"/>
      <c r="I87" s="96"/>
      <c r="J87" s="96"/>
      <c r="K87" s="96"/>
      <c r="L87" s="96"/>
      <c r="M87" s="96"/>
      <c r="N87" s="96"/>
      <c r="O87" s="96"/>
      <c r="P87" s="96"/>
      <c r="Q87" s="96"/>
      <c r="R87" s="96"/>
      <c r="S87" s="96"/>
      <c r="T87" s="96"/>
      <c r="U87" s="96"/>
      <c r="V87" s="96"/>
    </row>
    <row r="88" spans="1:22" x14ac:dyDescent="0.25">
      <c r="A88" s="181"/>
      <c r="B88" s="96"/>
      <c r="C88" s="96"/>
      <c r="D88" s="96"/>
      <c r="E88" s="96"/>
      <c r="F88" s="96"/>
      <c r="G88" s="96"/>
      <c r="H88" s="96"/>
      <c r="I88" s="96"/>
      <c r="J88" s="96"/>
      <c r="K88" s="96"/>
      <c r="L88" s="96"/>
      <c r="M88" s="96"/>
      <c r="N88" s="96"/>
      <c r="O88" s="96"/>
      <c r="P88" s="96"/>
      <c r="Q88" s="96"/>
      <c r="R88" s="96"/>
      <c r="S88" s="96"/>
      <c r="T88" s="96"/>
      <c r="U88" s="96"/>
      <c r="V88" s="96"/>
    </row>
    <row r="89" spans="1:22" x14ac:dyDescent="0.25">
      <c r="A89" s="181"/>
      <c r="B89" s="96"/>
      <c r="C89" s="96"/>
      <c r="D89" s="96"/>
      <c r="E89" s="96"/>
      <c r="F89" s="96"/>
      <c r="G89" s="96"/>
      <c r="H89" s="96"/>
      <c r="I89" s="96"/>
      <c r="J89" s="96"/>
      <c r="K89" s="96"/>
      <c r="L89" s="96"/>
      <c r="M89" s="96"/>
      <c r="N89" s="96"/>
      <c r="O89" s="96"/>
      <c r="P89" s="96"/>
      <c r="Q89" s="96"/>
      <c r="R89" s="96"/>
      <c r="S89" s="96"/>
      <c r="T89" s="96"/>
      <c r="U89" s="96"/>
      <c r="V89" s="96"/>
    </row>
    <row r="90" spans="1:22" x14ac:dyDescent="0.25">
      <c r="A90" s="181"/>
      <c r="B90" s="96"/>
      <c r="C90" s="96"/>
      <c r="D90" s="96"/>
      <c r="E90" s="96"/>
      <c r="F90" s="96"/>
      <c r="G90" s="96"/>
      <c r="H90" s="96"/>
      <c r="I90" s="96"/>
      <c r="J90" s="96"/>
      <c r="K90" s="96"/>
      <c r="L90" s="96"/>
      <c r="M90" s="96"/>
      <c r="N90" s="96"/>
      <c r="O90" s="96"/>
      <c r="P90" s="96"/>
      <c r="Q90" s="96"/>
      <c r="R90" s="96"/>
      <c r="S90" s="96"/>
      <c r="T90" s="96"/>
      <c r="U90" s="96"/>
      <c r="V90" s="96"/>
    </row>
    <row r="91" spans="1:22" x14ac:dyDescent="0.25">
      <c r="A91" s="181"/>
      <c r="B91" s="96"/>
      <c r="C91" s="96"/>
      <c r="D91" s="96"/>
      <c r="E91" s="96"/>
      <c r="F91" s="96"/>
      <c r="G91" s="96"/>
      <c r="H91" s="96"/>
      <c r="I91" s="96"/>
      <c r="J91" s="96"/>
      <c r="K91" s="96"/>
      <c r="L91" s="96"/>
      <c r="M91" s="96"/>
      <c r="N91" s="96"/>
      <c r="O91" s="96"/>
      <c r="P91" s="96"/>
      <c r="Q91" s="96"/>
      <c r="R91" s="96"/>
      <c r="S91" s="96"/>
      <c r="T91" s="96"/>
      <c r="U91" s="96"/>
      <c r="V91" s="96"/>
    </row>
    <row r="92" spans="1:22" x14ac:dyDescent="0.25">
      <c r="A92" s="181"/>
      <c r="B92" s="96"/>
      <c r="C92" s="96"/>
      <c r="D92" s="96"/>
      <c r="E92" s="96"/>
      <c r="F92" s="96"/>
      <c r="G92" s="96"/>
      <c r="H92" s="96"/>
      <c r="I92" s="96"/>
      <c r="J92" s="96"/>
      <c r="K92" s="96"/>
      <c r="L92" s="96"/>
      <c r="M92" s="96"/>
      <c r="N92" s="96"/>
      <c r="O92" s="96"/>
      <c r="P92" s="96"/>
      <c r="Q92" s="96"/>
      <c r="R92" s="96"/>
      <c r="S92" s="96"/>
      <c r="T92" s="96"/>
      <c r="U92" s="96"/>
      <c r="V92" s="96"/>
    </row>
    <row r="93" spans="1:22" x14ac:dyDescent="0.25">
      <c r="A93" s="181"/>
      <c r="B93" s="96"/>
      <c r="C93" s="96"/>
      <c r="D93" s="96"/>
      <c r="E93" s="96"/>
      <c r="F93" s="96"/>
      <c r="G93" s="96"/>
      <c r="H93" s="96"/>
      <c r="I93" s="96"/>
      <c r="J93" s="96"/>
      <c r="K93" s="96"/>
      <c r="L93" s="96"/>
      <c r="M93" s="96"/>
      <c r="N93" s="96"/>
      <c r="O93" s="96"/>
      <c r="P93" s="96"/>
      <c r="Q93" s="96"/>
      <c r="R93" s="96"/>
      <c r="S93" s="96"/>
      <c r="T93" s="96"/>
      <c r="U93" s="96"/>
      <c r="V93" s="96"/>
    </row>
    <row r="94" spans="1:22" x14ac:dyDescent="0.25">
      <c r="A94" s="181"/>
      <c r="B94" s="96"/>
      <c r="C94" s="96"/>
      <c r="D94" s="96"/>
      <c r="E94" s="96"/>
      <c r="F94" s="96"/>
      <c r="G94" s="96"/>
      <c r="H94" s="96"/>
      <c r="I94" s="96"/>
      <c r="J94" s="96"/>
      <c r="K94" s="96"/>
      <c r="L94" s="96"/>
      <c r="M94" s="96"/>
      <c r="N94" s="96"/>
      <c r="O94" s="96"/>
      <c r="P94" s="96"/>
      <c r="Q94" s="96"/>
      <c r="R94" s="96"/>
      <c r="S94" s="96"/>
      <c r="T94" s="96"/>
      <c r="U94" s="96"/>
      <c r="V94" s="96"/>
    </row>
    <row r="95" spans="1:22" x14ac:dyDescent="0.25">
      <c r="A95" s="181"/>
      <c r="B95" s="96"/>
      <c r="C95" s="96"/>
      <c r="D95" s="96"/>
      <c r="E95" s="96"/>
      <c r="F95" s="96"/>
      <c r="G95" s="96"/>
      <c r="H95" s="96"/>
      <c r="I95" s="96"/>
      <c r="J95" s="96"/>
      <c r="K95" s="96"/>
      <c r="L95" s="96"/>
      <c r="M95" s="96"/>
      <c r="N95" s="96"/>
      <c r="O95" s="96"/>
      <c r="P95" s="96"/>
      <c r="Q95" s="96"/>
      <c r="R95" s="96"/>
      <c r="S95" s="96"/>
      <c r="T95" s="96"/>
      <c r="U95" s="96"/>
      <c r="V95" s="96"/>
    </row>
    <row r="96" spans="1:22" x14ac:dyDescent="0.25">
      <c r="A96" s="181"/>
      <c r="B96" s="96"/>
      <c r="C96" s="96"/>
      <c r="D96" s="96"/>
      <c r="E96" s="96"/>
      <c r="F96" s="96"/>
      <c r="G96" s="96"/>
      <c r="H96" s="96"/>
      <c r="I96" s="96"/>
      <c r="J96" s="96"/>
      <c r="K96" s="96"/>
      <c r="L96" s="96"/>
      <c r="M96" s="96"/>
      <c r="N96" s="96"/>
      <c r="O96" s="96"/>
      <c r="P96" s="96"/>
      <c r="Q96" s="96"/>
      <c r="R96" s="96"/>
      <c r="S96" s="96"/>
      <c r="T96" s="96"/>
      <c r="U96" s="96"/>
      <c r="V96" s="96"/>
    </row>
    <row r="97" spans="1:22" x14ac:dyDescent="0.25">
      <c r="A97" s="181"/>
      <c r="B97" s="96"/>
      <c r="C97" s="96"/>
      <c r="D97" s="96"/>
      <c r="E97" s="96"/>
      <c r="F97" s="96"/>
      <c r="G97" s="96"/>
      <c r="H97" s="96"/>
      <c r="I97" s="96"/>
      <c r="J97" s="96"/>
      <c r="K97" s="96"/>
      <c r="L97" s="96"/>
      <c r="M97" s="96"/>
      <c r="N97" s="96"/>
      <c r="O97" s="96"/>
      <c r="P97" s="96"/>
      <c r="Q97" s="96"/>
      <c r="R97" s="96"/>
      <c r="S97" s="96"/>
      <c r="T97" s="96"/>
      <c r="U97" s="96"/>
      <c r="V97" s="96"/>
    </row>
    <row r="98" spans="1:22" x14ac:dyDescent="0.25">
      <c r="A98" s="181"/>
      <c r="B98" s="96"/>
      <c r="C98" s="96"/>
      <c r="D98" s="96"/>
      <c r="E98" s="96"/>
      <c r="F98" s="96"/>
      <c r="G98" s="96"/>
      <c r="H98" s="96"/>
      <c r="I98" s="96"/>
      <c r="J98" s="96"/>
      <c r="K98" s="96"/>
      <c r="L98" s="96"/>
      <c r="M98" s="96"/>
      <c r="N98" s="96"/>
      <c r="O98" s="96"/>
      <c r="P98" s="96"/>
      <c r="Q98" s="96"/>
      <c r="R98" s="96"/>
      <c r="S98" s="96"/>
      <c r="T98" s="96"/>
      <c r="U98" s="96"/>
      <c r="V98" s="96"/>
    </row>
    <row r="99" spans="1:22" x14ac:dyDescent="0.25">
      <c r="A99" s="181"/>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181"/>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181"/>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181"/>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181"/>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181"/>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181"/>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181"/>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181"/>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181"/>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181"/>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181"/>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181"/>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181"/>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181"/>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181"/>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181"/>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181"/>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181"/>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181"/>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181"/>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181"/>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181"/>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181"/>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181"/>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181"/>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181"/>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181"/>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181"/>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181"/>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181"/>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181"/>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181"/>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181"/>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181"/>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181"/>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181"/>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181"/>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181"/>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181"/>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181"/>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181"/>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181"/>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181"/>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181"/>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181"/>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181"/>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181"/>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181"/>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181"/>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181"/>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181"/>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181"/>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181"/>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181"/>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181"/>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181"/>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181"/>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181"/>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181"/>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181"/>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181"/>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181"/>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181"/>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181"/>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181"/>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181"/>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181"/>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181"/>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181"/>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181"/>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181"/>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181"/>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181"/>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181"/>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181"/>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181"/>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181"/>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181"/>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181"/>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181"/>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181"/>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181"/>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181"/>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181"/>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181"/>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181"/>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181"/>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181"/>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181"/>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181"/>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181"/>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181"/>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181"/>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181"/>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181"/>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181"/>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181"/>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181"/>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181"/>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181"/>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181"/>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181"/>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181"/>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181"/>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181"/>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181"/>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181"/>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181"/>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181"/>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181"/>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181"/>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181"/>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181"/>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181"/>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181"/>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181"/>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181"/>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181"/>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181"/>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181"/>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181"/>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181"/>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181"/>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181"/>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181"/>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181"/>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181"/>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181"/>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181"/>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181"/>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181"/>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181"/>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181"/>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181"/>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181"/>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181"/>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181"/>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181"/>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181"/>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181"/>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181"/>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181"/>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181"/>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181"/>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181"/>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181"/>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181"/>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181"/>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181"/>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181"/>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181"/>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181"/>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181"/>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181"/>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181"/>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181"/>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181"/>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181"/>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181"/>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181"/>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181"/>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181"/>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181"/>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181"/>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181"/>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181"/>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181"/>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181"/>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181"/>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181"/>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181"/>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181"/>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181"/>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181"/>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181"/>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181"/>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181"/>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181"/>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181"/>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181"/>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181"/>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181"/>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181"/>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181"/>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181"/>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181"/>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181"/>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181"/>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181"/>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181"/>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181"/>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181"/>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181"/>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181"/>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181"/>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181"/>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181"/>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181"/>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181"/>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181"/>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181"/>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181"/>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181"/>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181"/>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181"/>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181"/>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181"/>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181"/>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181"/>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181"/>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181"/>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181"/>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181"/>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181"/>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181"/>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181"/>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181"/>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181"/>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181"/>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181"/>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181"/>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181"/>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181"/>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181"/>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181"/>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181"/>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181"/>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181"/>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181"/>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181"/>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181"/>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181"/>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181"/>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181"/>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181"/>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75"/>
  <sheetViews>
    <sheetView topLeftCell="A28" zoomScale="60" zoomScaleNormal="60" workbookViewId="0">
      <selection activeCell="F35" sqref="F35"/>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26" t="str">
        <f>'1. паспорт местоположение'!$A$5</f>
        <v>Год раскрытия информации: 2025 год</v>
      </c>
      <c r="B4" s="226"/>
      <c r="C4" s="226"/>
      <c r="D4" s="226"/>
      <c r="E4" s="226"/>
      <c r="F4" s="226"/>
      <c r="G4" s="226"/>
    </row>
    <row r="6" spans="1:11" ht="18.75" x14ac:dyDescent="0.25">
      <c r="A6" s="230" t="s">
        <v>5</v>
      </c>
      <c r="B6" s="230"/>
      <c r="C6" s="230"/>
      <c r="D6" s="230"/>
      <c r="E6" s="230"/>
      <c r="F6" s="230"/>
      <c r="G6" s="230"/>
    </row>
    <row r="7" spans="1:11" ht="18.75" x14ac:dyDescent="0.25">
      <c r="A7" s="72"/>
      <c r="B7" s="72"/>
      <c r="C7" s="72"/>
      <c r="D7" s="72"/>
      <c r="E7" s="72"/>
      <c r="F7" s="72"/>
      <c r="G7" s="72"/>
    </row>
    <row r="8" spans="1:11" x14ac:dyDescent="0.25">
      <c r="A8" s="231" t="s">
        <v>251</v>
      </c>
      <c r="B8" s="231"/>
      <c r="C8" s="231"/>
      <c r="D8" s="231"/>
      <c r="E8" s="231"/>
      <c r="F8" s="231"/>
      <c r="G8" s="231"/>
    </row>
    <row r="9" spans="1:11" ht="18.75" customHeight="1" x14ac:dyDescent="0.25">
      <c r="A9" s="232" t="s">
        <v>4</v>
      </c>
      <c r="B9" s="232"/>
      <c r="C9" s="232"/>
      <c r="D9" s="232"/>
      <c r="E9" s="232"/>
      <c r="F9" s="232"/>
      <c r="G9" s="232"/>
    </row>
    <row r="10" spans="1:11" ht="18.75" x14ac:dyDescent="0.25">
      <c r="A10" s="72"/>
      <c r="B10" s="72"/>
      <c r="C10" s="72"/>
      <c r="D10" s="72"/>
      <c r="E10" s="72"/>
      <c r="F10" s="72"/>
      <c r="G10" s="72"/>
    </row>
    <row r="11" spans="1:11" x14ac:dyDescent="0.25">
      <c r="A11" s="231" t="str">
        <f>'1. паспорт местоположение'!A12:C12</f>
        <v>O_Che477_24</v>
      </c>
      <c r="B11" s="231"/>
      <c r="C11" s="231"/>
      <c r="D11" s="231"/>
      <c r="E11" s="231"/>
      <c r="F11" s="231"/>
      <c r="G11" s="231"/>
    </row>
    <row r="12" spans="1:11" x14ac:dyDescent="0.25">
      <c r="A12" s="232" t="s">
        <v>3</v>
      </c>
      <c r="B12" s="232"/>
      <c r="C12" s="232"/>
      <c r="D12" s="232"/>
      <c r="E12" s="232"/>
      <c r="F12" s="232"/>
      <c r="G12" s="232"/>
    </row>
    <row r="13" spans="1:11" ht="16.5" customHeight="1" x14ac:dyDescent="0.25">
      <c r="A13" s="1"/>
      <c r="B13" s="1"/>
      <c r="C13" s="1"/>
      <c r="D13" s="1"/>
      <c r="E13" s="1"/>
      <c r="F13" s="1"/>
      <c r="G13" s="1"/>
    </row>
    <row r="14" spans="1:11" ht="29.25" customHeight="1" x14ac:dyDescent="0.25">
      <c r="A14" s="231" t="str">
        <f>'1. паспорт местоположение'!A15:C15</f>
        <v>Приобретение оборудования для намотки кабеля на барабан УПК-25-РЧ-003 (Перемоточное устройство с электроприв.и РКУ)</v>
      </c>
      <c r="B14" s="231"/>
      <c r="C14" s="231"/>
      <c r="D14" s="231"/>
      <c r="E14" s="231"/>
      <c r="F14" s="231"/>
      <c r="G14" s="231"/>
    </row>
    <row r="15" spans="1:11" ht="15.75" customHeight="1" x14ac:dyDescent="0.25">
      <c r="A15" s="232" t="s">
        <v>2</v>
      </c>
      <c r="B15" s="232"/>
      <c r="C15" s="232"/>
      <c r="D15" s="232"/>
      <c r="E15" s="232"/>
      <c r="F15" s="232"/>
      <c r="G15" s="232"/>
    </row>
    <row r="16" spans="1:11" x14ac:dyDescent="0.25">
      <c r="A16" s="308"/>
      <c r="B16" s="308"/>
      <c r="C16" s="308"/>
      <c r="D16" s="308"/>
      <c r="E16" s="308"/>
      <c r="F16" s="308"/>
      <c r="G16" s="308"/>
    </row>
    <row r="18" spans="1:11" x14ac:dyDescent="0.25">
      <c r="A18" s="309" t="s">
        <v>240</v>
      </c>
      <c r="B18" s="309"/>
      <c r="C18" s="309"/>
      <c r="D18" s="309"/>
      <c r="E18" s="309"/>
      <c r="F18" s="309"/>
      <c r="G18" s="309"/>
    </row>
    <row r="20" spans="1:11" ht="33" customHeight="1" x14ac:dyDescent="0.25">
      <c r="A20" s="310" t="s">
        <v>95</v>
      </c>
      <c r="B20" s="310" t="s">
        <v>94</v>
      </c>
      <c r="C20" s="306" t="s">
        <v>93</v>
      </c>
      <c r="D20" s="307"/>
      <c r="E20" s="312" t="s">
        <v>92</v>
      </c>
      <c r="F20" s="313"/>
      <c r="G20" s="310" t="s">
        <v>474</v>
      </c>
      <c r="H20" s="297" t="s">
        <v>475</v>
      </c>
      <c r="I20" s="298"/>
      <c r="J20" s="298"/>
      <c r="K20" s="299"/>
    </row>
    <row r="21" spans="1:11" ht="30" customHeight="1" x14ac:dyDescent="0.25">
      <c r="A21" s="311"/>
      <c r="B21" s="311"/>
      <c r="C21" s="289"/>
      <c r="D21" s="290"/>
      <c r="E21" s="314"/>
      <c r="F21" s="315"/>
      <c r="G21" s="311"/>
      <c r="H21" s="300" t="s">
        <v>0</v>
      </c>
      <c r="I21" s="301"/>
      <c r="J21" s="300" t="s">
        <v>434</v>
      </c>
      <c r="K21" s="301"/>
    </row>
    <row r="22" spans="1:11" ht="76.5" customHeight="1" x14ac:dyDescent="0.25">
      <c r="A22" s="291"/>
      <c r="B22" s="291"/>
      <c r="C22" s="187" t="s">
        <v>0</v>
      </c>
      <c r="D22" s="187" t="s">
        <v>434</v>
      </c>
      <c r="E22" s="15" t="s">
        <v>476</v>
      </c>
      <c r="F22" s="15" t="s">
        <v>477</v>
      </c>
      <c r="G22" s="291"/>
      <c r="H22" s="14" t="s">
        <v>464</v>
      </c>
      <c r="I22" s="14" t="s">
        <v>465</v>
      </c>
      <c r="J22" s="14" t="s">
        <v>464</v>
      </c>
      <c r="K22" s="14" t="s">
        <v>465</v>
      </c>
    </row>
    <row r="23" spans="1:11" ht="19.5" customHeight="1" x14ac:dyDescent="0.25">
      <c r="A23" s="172">
        <v>1</v>
      </c>
      <c r="B23" s="172">
        <v>2</v>
      </c>
      <c r="C23" s="168">
        <v>3</v>
      </c>
      <c r="D23" s="168">
        <v>4</v>
      </c>
      <c r="E23" s="168">
        <v>5</v>
      </c>
      <c r="F23" s="168">
        <v>6</v>
      </c>
      <c r="G23" s="168">
        <v>7</v>
      </c>
      <c r="H23" s="168">
        <v>8</v>
      </c>
      <c r="I23" s="168">
        <v>9</v>
      </c>
      <c r="J23" s="168">
        <v>10</v>
      </c>
      <c r="K23" s="168">
        <v>11</v>
      </c>
    </row>
    <row r="24" spans="1:11" s="73" customFormat="1" ht="47.25" customHeight="1" x14ac:dyDescent="0.25">
      <c r="A24" s="12">
        <v>1</v>
      </c>
      <c r="B24" s="11" t="s">
        <v>91</v>
      </c>
      <c r="C24" s="49" t="str">
        <f>VLOOKUP($A$11,'[1]6.2. отчет'!$D:$K,2,0)</f>
        <v>нд</v>
      </c>
      <c r="D24" s="49">
        <f>VLOOKUP($A$11,'[1]6.2. отчет'!$D:$K,5,0)</f>
        <v>0.43095766000000002</v>
      </c>
      <c r="E24" s="49">
        <f>VLOOKUP($A$11,'[1]6.2. отчет'!$D:$K,7,0)</f>
        <v>0.43095766000000002</v>
      </c>
      <c r="F24" s="49">
        <f>VLOOKUP($A$11,'[1]6.2. отчет'!$D:$K,8,0)</f>
        <v>0.43095766000000002</v>
      </c>
      <c r="G24" s="49">
        <f>VLOOKUP($A$11,'[1]6.2. отчет'!$D:$BL,9,0)</f>
        <v>0</v>
      </c>
      <c r="H24" s="49" t="str">
        <f>VLOOKUP($A$11,'[1]6.2. отчет'!$D:$BL,15,0)</f>
        <v>нд</v>
      </c>
      <c r="I24" s="49" t="str">
        <f>VLOOKUP($A$11,'[1]6.2. отчет'!$D:$CU,45,0)</f>
        <v>нд</v>
      </c>
      <c r="J24" s="49">
        <f>VLOOKUP($A$11,'[1]6.2. отчет'!$D:$BL,56,0)</f>
        <v>0.43095766000000002</v>
      </c>
      <c r="K24" s="49">
        <f>VLOOKUP($A$11,'[1]6.2. отчет'!$D:$CU,86,0)</f>
        <v>0</v>
      </c>
    </row>
    <row r="25" spans="1:11" ht="24" customHeight="1" x14ac:dyDescent="0.25">
      <c r="A25" s="10" t="s">
        <v>90</v>
      </c>
      <c r="B25" s="6" t="s">
        <v>89</v>
      </c>
      <c r="C25" s="49" t="str">
        <f t="shared" ref="C25:C26" si="0">H25</f>
        <v>нд</v>
      </c>
      <c r="D25" s="49">
        <f>G25+J25</f>
        <v>0</v>
      </c>
      <c r="E25" s="49">
        <f t="shared" ref="E25:E28" si="1">F25+G25</f>
        <v>0</v>
      </c>
      <c r="F25" s="49">
        <f t="shared" ref="F25:F26" si="2">J25</f>
        <v>0</v>
      </c>
      <c r="G25" s="49">
        <f>VLOOKUP($A$11,'[1]6.2. отчет'!$D:$BL,10,0)</f>
        <v>0</v>
      </c>
      <c r="H25" s="49" t="str">
        <f>VLOOKUP($A$11,'[1]6.2. отчет'!$D:$BL,16,0)</f>
        <v>нд</v>
      </c>
      <c r="I25" s="49" t="str">
        <f>IF(H25=0,0,VLOOKUP($A$11,'[1]6.2. отчет'!$D:$CU,46,0))</f>
        <v>нд</v>
      </c>
      <c r="J25" s="49">
        <f>VLOOKUP($A$11,'[1]6.2. отчет'!$D:$BL,57,0)</f>
        <v>0</v>
      </c>
      <c r="K25" s="49">
        <f>IF(J25=0,0,VLOOKUP($A$11,'[1]6.2. отчет'!$D:$CU,87,0))</f>
        <v>0</v>
      </c>
    </row>
    <row r="26" spans="1:11" x14ac:dyDescent="0.25">
      <c r="A26" s="10" t="s">
        <v>88</v>
      </c>
      <c r="B26" s="6" t="s">
        <v>87</v>
      </c>
      <c r="C26" s="49" t="str">
        <f t="shared" si="0"/>
        <v>нд</v>
      </c>
      <c r="D26" s="49">
        <f>G26+J26</f>
        <v>0</v>
      </c>
      <c r="E26" s="49">
        <f t="shared" si="1"/>
        <v>0</v>
      </c>
      <c r="F26" s="49">
        <f t="shared" si="2"/>
        <v>0</v>
      </c>
      <c r="G26" s="49">
        <f>VLOOKUP($A$11,'[1]6.2. отчет'!$D:$BL,11,0)</f>
        <v>0</v>
      </c>
      <c r="H26" s="49" t="str">
        <f>VLOOKUP($A$11,'[1]6.2. отчет'!$D:$BL,17,0)</f>
        <v>нд</v>
      </c>
      <c r="I26" s="49" t="str">
        <f>IF(H26=0,0,VLOOKUP($A$11,'[1]6.2. отчет'!$D:$CU,47,0))</f>
        <v>нд</v>
      </c>
      <c r="J26" s="49">
        <f>VLOOKUP($A$11,'[1]6.2. отчет'!$D:$BL,58,0)</f>
        <v>0</v>
      </c>
      <c r="K26" s="49">
        <f>IF(J26=0,0,VLOOKUP($A$11,'[1]6.2. отчет'!$D:$CU,88,0))</f>
        <v>0</v>
      </c>
    </row>
    <row r="27" spans="1:11" ht="31.5" x14ac:dyDescent="0.25">
      <c r="A27" s="10" t="s">
        <v>86</v>
      </c>
      <c r="B27" s="6" t="s">
        <v>192</v>
      </c>
      <c r="C27" s="49" t="str">
        <f>IF(C24="нд","нд",C24-(C29+C28+C26+C25))</f>
        <v>нд</v>
      </c>
      <c r="D27" s="49">
        <f>G27+J27+D24-(G24+J24)</f>
        <v>0.35913138333333339</v>
      </c>
      <c r="E27" s="49">
        <f>F27+G27</f>
        <v>0.43095766000000002</v>
      </c>
      <c r="F27" s="49">
        <f>F24-(F25+F26+F28+F29)</f>
        <v>0.43095766000000002</v>
      </c>
      <c r="G27" s="49">
        <f>VLOOKUP($A$11,'[1]6.2. отчет'!$D:$BL,12,0)</f>
        <v>0</v>
      </c>
      <c r="H27" s="49" t="str">
        <f>VLOOKUP($A$11,'[1]6.2. отчет'!$D:$BL,18,0)</f>
        <v>нд</v>
      </c>
      <c r="I27" s="49" t="str">
        <f>IF(H27=0,0,VLOOKUP($A$11,'[1]6.2. отчет'!$D:$CU,48,0))</f>
        <v>нд</v>
      </c>
      <c r="J27" s="49">
        <f>VLOOKUP($A$11,'[1]6.2. отчет'!$D:$BL,59,0)</f>
        <v>0.35913138333333339</v>
      </c>
      <c r="K27" s="49">
        <f>IF(J27=0,0,VLOOKUP($A$11,'[1]6.2. отчет'!$D:$CU,89,0))</f>
        <v>0</v>
      </c>
    </row>
    <row r="28" spans="1:11" x14ac:dyDescent="0.25">
      <c r="A28" s="10" t="s">
        <v>85</v>
      </c>
      <c r="B28" s="6" t="s">
        <v>84</v>
      </c>
      <c r="C28" s="49" t="str">
        <f>H28</f>
        <v>нд</v>
      </c>
      <c r="D28" s="49">
        <f t="shared" ref="D28:D29" si="3">G28+J28</f>
        <v>0</v>
      </c>
      <c r="E28" s="49">
        <f t="shared" si="1"/>
        <v>0</v>
      </c>
      <c r="F28" s="49">
        <v>0</v>
      </c>
      <c r="G28" s="49">
        <f>VLOOKUP($A$11,'[1]6.2. отчет'!$D:$BL,13,0)</f>
        <v>0</v>
      </c>
      <c r="H28" s="49" t="str">
        <f>VLOOKUP($A$11,'[1]6.2. отчет'!$D:$BL,19,0)</f>
        <v>нд</v>
      </c>
      <c r="I28" s="49" t="str">
        <f>IF(H28=0,0,VLOOKUP($A$11,'[1]6.2. отчет'!$D:$CU,49,0))</f>
        <v>нд</v>
      </c>
      <c r="J28" s="49">
        <f>VLOOKUP($A$11,'[1]6.2. отчет'!$D:$BL,60,0)</f>
        <v>0</v>
      </c>
      <c r="K28" s="49">
        <f>IF(J28=0,0,VLOOKUP($A$11,'[1]6.2. отчет'!$D:$CU,90,0))</f>
        <v>0</v>
      </c>
    </row>
    <row r="29" spans="1:11" x14ac:dyDescent="0.25">
      <c r="A29" s="10" t="s">
        <v>83</v>
      </c>
      <c r="B29" s="13" t="s">
        <v>82</v>
      </c>
      <c r="C29" s="49" t="str">
        <f>H29</f>
        <v>нд</v>
      </c>
      <c r="D29" s="49">
        <f t="shared" si="3"/>
        <v>7.1826276666666633E-2</v>
      </c>
      <c r="E29" s="49">
        <f>F29+G29</f>
        <v>0</v>
      </c>
      <c r="F29" s="49">
        <v>0</v>
      </c>
      <c r="G29" s="49">
        <f>VLOOKUP($A$11,'[1]6.2. отчет'!$D:$BL,14,0)</f>
        <v>0</v>
      </c>
      <c r="H29" s="49" t="str">
        <f>VLOOKUP($A$11,'[1]6.2. отчет'!$D:$BL,20,0)</f>
        <v>нд</v>
      </c>
      <c r="I29" s="49" t="str">
        <f>IF(H29=0,0,VLOOKUP($A$11,'[1]6.2. отчет'!$D:$CU,50,0))</f>
        <v>нд</v>
      </c>
      <c r="J29" s="49">
        <f>VLOOKUP($A$11,'[1]6.2. отчет'!$D:$BL,61,0)</f>
        <v>7.1826276666666633E-2</v>
      </c>
      <c r="K29" s="49">
        <f>IF(J29=0,0,VLOOKUP($A$11,'[1]6.2. отчет'!$D:$CU,91,0))</f>
        <v>0</v>
      </c>
    </row>
    <row r="30" spans="1:11" s="74" customFormat="1" ht="47.25" x14ac:dyDescent="0.25">
      <c r="A30" s="12" t="s">
        <v>17</v>
      </c>
      <c r="B30" s="11" t="s">
        <v>81</v>
      </c>
      <c r="C30" s="49" t="str">
        <f>VLOOKUP($A$11,'[1]6.2. отчет'!$D:$DB,99,0)</f>
        <v>нд</v>
      </c>
      <c r="D30" s="49">
        <f>VLOOKUP($A$11,'[1]6.2. отчет'!$D:$FK,106,0)</f>
        <v>0.35913138</v>
      </c>
      <c r="E30" s="49">
        <f>VLOOKUP($A$11,'[1]6.2. отчет'!$D:$FK,108,0)</f>
        <v>0.35913138</v>
      </c>
      <c r="F30" s="49">
        <f>VLOOKUP($A$11,'[1]6.2. отчет'!$D:$FK,109,0)</f>
        <v>0.35913138</v>
      </c>
      <c r="G30" s="49">
        <f>VLOOKUP($A$11,'[1]6.2. отчет'!$D:$FK,110,0)</f>
        <v>0</v>
      </c>
      <c r="H30" s="49" t="str">
        <f>VLOOKUP($A$11,'[1]6.2. отчет'!$D:$FK,115,0)</f>
        <v>нд</v>
      </c>
      <c r="I30" s="49" t="str">
        <f>VLOOKUP($A$11,'[1]6.2. отчет'!$D:$AGP,124,0)</f>
        <v>нд</v>
      </c>
      <c r="J30" s="49">
        <f>VLOOKUP($A$11,'[1]6.2. отчет'!$D:$FK,130,0)</f>
        <v>0.35913138</v>
      </c>
      <c r="K30" s="49">
        <f>VLOOKUP($A$11,'[1]6.2. отчет'!$D:$FK,155,0)</f>
        <v>0</v>
      </c>
    </row>
    <row r="31" spans="1:11" x14ac:dyDescent="0.25">
      <c r="A31" s="12" t="s">
        <v>80</v>
      </c>
      <c r="B31" s="6" t="s">
        <v>79</v>
      </c>
      <c r="C31" s="49" t="str">
        <f>VLOOKUP($A$11,'[1]6.2. отчет'!$D:$DB,100,0)</f>
        <v>нд</v>
      </c>
      <c r="D31" s="49">
        <v>0</v>
      </c>
      <c r="E31" s="49">
        <v>0</v>
      </c>
      <c r="F31" s="49">
        <v>0</v>
      </c>
      <c r="G31" s="49">
        <f>VLOOKUP($A$11,'[1]6.2. отчет'!$D:$FK,111,0)</f>
        <v>0</v>
      </c>
      <c r="H31" s="49" t="s">
        <v>314</v>
      </c>
      <c r="I31" s="49" t="s">
        <v>314</v>
      </c>
      <c r="J31" s="49">
        <f>VLOOKUP($A$11,'[1]6.2. отчет'!$D:$FK,131,0)</f>
        <v>0</v>
      </c>
      <c r="K31" s="49">
        <f>IF(J31=0,0,VLOOKUP($A$11,'[1]6.2. отчет'!$D:$FK,156,0))</f>
        <v>0</v>
      </c>
    </row>
    <row r="32" spans="1:11" ht="31.5" x14ac:dyDescent="0.25">
      <c r="A32" s="12" t="s">
        <v>78</v>
      </c>
      <c r="B32" s="6" t="s">
        <v>77</v>
      </c>
      <c r="C32" s="49" t="str">
        <f>VLOOKUP($A$11,'[1]6.2. отчет'!$D:$DB,101,0)</f>
        <v>нд</v>
      </c>
      <c r="D32" s="49">
        <v>0</v>
      </c>
      <c r="E32" s="49">
        <f>F32+G32</f>
        <v>0</v>
      </c>
      <c r="F32" s="49">
        <v>0</v>
      </c>
      <c r="G32" s="49">
        <f>VLOOKUP($A$11,'[1]6.2. отчет'!$D:$FK,112,0)</f>
        <v>0</v>
      </c>
      <c r="H32" s="49" t="s">
        <v>314</v>
      </c>
      <c r="I32" s="49" t="s">
        <v>314</v>
      </c>
      <c r="J32" s="49">
        <f>VLOOKUP($A$11,'[1]6.2. отчет'!$D:$FK,132,0)</f>
        <v>0</v>
      </c>
      <c r="K32" s="49">
        <f>IF(J32=0,0,VLOOKUP($A$11,'[1]6.2. отчет'!$D:$FK,157,0))</f>
        <v>0</v>
      </c>
    </row>
    <row r="33" spans="1:11" x14ac:dyDescent="0.25">
      <c r="A33" s="12" t="s">
        <v>76</v>
      </c>
      <c r="B33" s="6" t="s">
        <v>75</v>
      </c>
      <c r="C33" s="49" t="str">
        <f>VLOOKUP($A$11,'[1]6.2. отчет'!$D:$DB,102,0)</f>
        <v>нд</v>
      </c>
      <c r="D33" s="49">
        <f>D30</f>
        <v>0.35913138</v>
      </c>
      <c r="E33" s="49">
        <f t="shared" ref="E33:E34" si="4">F33+G33</f>
        <v>0.35913138</v>
      </c>
      <c r="F33" s="49">
        <f>F30</f>
        <v>0.35913138</v>
      </c>
      <c r="G33" s="49">
        <f>VLOOKUP($A$11,'[1]6.2. отчет'!$D:$FK,113,0)</f>
        <v>0</v>
      </c>
      <c r="H33" s="49" t="s">
        <v>314</v>
      </c>
      <c r="I33" s="49" t="s">
        <v>314</v>
      </c>
      <c r="J33" s="49">
        <f>VLOOKUP($A$11,'[1]6.2. отчет'!$D:$FK,133,0)</f>
        <v>0.35913138</v>
      </c>
      <c r="K33" s="49">
        <f>IF(J33=0,0,VLOOKUP($A$11,'[1]6.2. отчет'!$D:$FK,158,0))</f>
        <v>0</v>
      </c>
    </row>
    <row r="34" spans="1:11" x14ac:dyDescent="0.25">
      <c r="A34" s="12" t="s">
        <v>74</v>
      </c>
      <c r="B34" s="6" t="s">
        <v>73</v>
      </c>
      <c r="C34" s="49" t="str">
        <f>VLOOKUP($A$11,'[1]6.2. отчет'!$D:$DB,103,0)</f>
        <v>нд</v>
      </c>
      <c r="D34" s="49">
        <v>0</v>
      </c>
      <c r="E34" s="49">
        <f t="shared" si="4"/>
        <v>0</v>
      </c>
      <c r="F34" s="49">
        <v>0</v>
      </c>
      <c r="G34" s="49">
        <f>VLOOKUP($A$11,'[1]6.2. отчет'!$D:$FK,114,0)</f>
        <v>0</v>
      </c>
      <c r="H34" s="49" t="s">
        <v>314</v>
      </c>
      <c r="I34" s="49" t="s">
        <v>314</v>
      </c>
      <c r="J34" s="49">
        <f>VLOOKUP($A$11,'[1]6.2. отчет'!$D:$FK,134,0)</f>
        <v>0</v>
      </c>
      <c r="K34" s="49">
        <f>IF(J34=0,0,VLOOKUP($A$11,'[1]6.2. отчет'!$D:$FK,159,0))</f>
        <v>0</v>
      </c>
    </row>
    <row r="35" spans="1:11" s="74" customFormat="1" ht="31.5" x14ac:dyDescent="0.25">
      <c r="A35" s="12" t="s">
        <v>16</v>
      </c>
      <c r="B35" s="11" t="s">
        <v>72</v>
      </c>
      <c r="C35" s="49"/>
      <c r="D35" s="49"/>
      <c r="E35" s="49"/>
      <c r="F35" s="49"/>
      <c r="G35" s="49"/>
      <c r="H35" s="49"/>
      <c r="I35" s="48"/>
      <c r="J35" s="49"/>
      <c r="K35" s="48"/>
    </row>
    <row r="36" spans="1:11" ht="31.5" x14ac:dyDescent="0.25">
      <c r="A36" s="10" t="s">
        <v>71</v>
      </c>
      <c r="B36" s="54" t="s">
        <v>70</v>
      </c>
      <c r="C36" s="49" t="s">
        <v>314</v>
      </c>
      <c r="D36" s="221">
        <v>0</v>
      </c>
      <c r="E36" s="49" t="str">
        <f>F36</f>
        <v>нд</v>
      </c>
      <c r="F36" s="49" t="str">
        <f>C36</f>
        <v>нд</v>
      </c>
      <c r="G36" s="49">
        <v>0</v>
      </c>
      <c r="H36" s="49" t="s">
        <v>314</v>
      </c>
      <c r="I36" s="49" t="s">
        <v>314</v>
      </c>
      <c r="J36" s="49">
        <f>IF('1. паспорт местоположение'!$C$22="Прочие инвестиционные проекты",0,VLOOKUP($A$11,'[1]6.2. отчет'!$D:$AGO,257,0))</f>
        <v>0</v>
      </c>
      <c r="K36" s="49">
        <f>IF('1. паспорт местоположение'!$C$22="Прочие инвестиционные проекты",0,VLOOKUP($A$11,'[1]6.2. отчет'!$D:$AGO,312,0))</f>
        <v>0</v>
      </c>
    </row>
    <row r="37" spans="1:11" x14ac:dyDescent="0.25">
      <c r="A37" s="10" t="s">
        <v>69</v>
      </c>
      <c r="B37" s="54" t="s">
        <v>59</v>
      </c>
      <c r="C37" s="49" t="s">
        <v>314</v>
      </c>
      <c r="D37" s="221">
        <f>VLOOKUP($A$11,'[1]6.2. отчет'!$D:$OZ,410,0)</f>
        <v>0</v>
      </c>
      <c r="E37" s="49" t="str">
        <f t="shared" ref="E37:E42" si="5">F37</f>
        <v>нд</v>
      </c>
      <c r="F37" s="49" t="str">
        <f t="shared" ref="F37:F57" si="6">C37</f>
        <v>нд</v>
      </c>
      <c r="G37" s="49">
        <v>0</v>
      </c>
      <c r="H37" s="49" t="s">
        <v>314</v>
      </c>
      <c r="I37" s="49" t="s">
        <v>314</v>
      </c>
      <c r="J37" s="49">
        <f>IF('1. паспорт местоположение'!$C$22="Прочие инвестиционные проекты",0,VLOOKUP($A$11,'[1]6.2. отчет'!$D:$AGO,258,0))</f>
        <v>0</v>
      </c>
      <c r="K37" s="49">
        <f>IF('1. паспорт местоположение'!$C$22="Прочие инвестиционные проекты",0,VLOOKUP($A$11,'[1]6.2. отчет'!$D:$AGO,313,0))</f>
        <v>0</v>
      </c>
    </row>
    <row r="38" spans="1:11" x14ac:dyDescent="0.25">
      <c r="A38" s="10" t="s">
        <v>68</v>
      </c>
      <c r="B38" s="54" t="s">
        <v>57</v>
      </c>
      <c r="C38" s="49" t="s">
        <v>314</v>
      </c>
      <c r="D38" s="221">
        <f>VLOOKUP($A$11,'[1]6.2. отчет'!$D:$OZ,411,0)</f>
        <v>0</v>
      </c>
      <c r="E38" s="49" t="str">
        <f t="shared" si="5"/>
        <v>нд</v>
      </c>
      <c r="F38" s="49" t="str">
        <f t="shared" si="6"/>
        <v>нд</v>
      </c>
      <c r="G38" s="49">
        <v>0</v>
      </c>
      <c r="H38" s="49" t="s">
        <v>314</v>
      </c>
      <c r="I38" s="49" t="s">
        <v>314</v>
      </c>
      <c r="J38" s="49">
        <f>IF('1. паспорт местоположение'!$C$22="Прочие инвестиционные проекты",0,VLOOKUP($A$11,'[1]6.2. отчет'!$D:$AGO,259,0))</f>
        <v>0</v>
      </c>
      <c r="K38" s="49">
        <f>IF('1. паспорт местоположение'!$C$22="Прочие инвестиционные проекты",0,VLOOKUP($A$11,'[1]6.2. отчет'!$D:$AGO,314,0))</f>
        <v>0</v>
      </c>
    </row>
    <row r="39" spans="1:11" ht="31.5" x14ac:dyDescent="0.25">
      <c r="A39" s="10" t="s">
        <v>67</v>
      </c>
      <c r="B39" s="6" t="s">
        <v>55</v>
      </c>
      <c r="C39" s="49" t="s">
        <v>314</v>
      </c>
      <c r="D39" s="221">
        <f>VLOOKUP($A$11,'[1]6.2. отчет'!$D:$OZ,409,0)</f>
        <v>0</v>
      </c>
      <c r="E39" s="49" t="str">
        <f t="shared" si="5"/>
        <v>нд</v>
      </c>
      <c r="F39" s="49" t="str">
        <f t="shared" si="6"/>
        <v>нд</v>
      </c>
      <c r="G39" s="49">
        <v>0</v>
      </c>
      <c r="H39" s="49" t="s">
        <v>314</v>
      </c>
      <c r="I39" s="49" t="s">
        <v>314</v>
      </c>
      <c r="J39" s="49">
        <f>IF('1. паспорт местоположение'!$C$22="Прочие инвестиционные проекты",0,VLOOKUP($A$11,'[1]6.2. отчет'!$D:$AGO,261,0))</f>
        <v>0</v>
      </c>
      <c r="K39" s="49">
        <f>IF('1. паспорт местоположение'!$C$22="Прочие инвестиционные проекты",0,VLOOKUP($A$11,'[1]6.2. отчет'!$D:$AGO,316,0))</f>
        <v>0</v>
      </c>
    </row>
    <row r="40" spans="1:11" ht="31.5" x14ac:dyDescent="0.25">
      <c r="A40" s="10" t="s">
        <v>66</v>
      </c>
      <c r="B40" s="6" t="s">
        <v>53</v>
      </c>
      <c r="C40" s="49" t="s">
        <v>314</v>
      </c>
      <c r="D40" s="221">
        <v>0</v>
      </c>
      <c r="E40" s="49" t="str">
        <f t="shared" si="5"/>
        <v>нд</v>
      </c>
      <c r="F40" s="49" t="str">
        <f t="shared" si="6"/>
        <v>нд</v>
      </c>
      <c r="G40" s="49">
        <v>0</v>
      </c>
      <c r="H40" s="49" t="s">
        <v>314</v>
      </c>
      <c r="I40" s="49" t="s">
        <v>314</v>
      </c>
      <c r="J40" s="49">
        <f>IF('1. паспорт местоположение'!$C$22="Прочие инвестиционные проекты",0,VLOOKUP($A$11,'[1]6.2. отчет'!$D:$AGO,262,0))</f>
        <v>0</v>
      </c>
      <c r="K40" s="49">
        <f>IF('1. паспорт местоположение'!$C$22="Прочие инвестиционные проекты",0,VLOOKUP($A$11,'[1]6.2. отчет'!$D:$AGO,317,0))</f>
        <v>0</v>
      </c>
    </row>
    <row r="41" spans="1:11" x14ac:dyDescent="0.25">
      <c r="A41" s="10" t="s">
        <v>65</v>
      </c>
      <c r="B41" s="6" t="s">
        <v>51</v>
      </c>
      <c r="C41" s="49" t="s">
        <v>314</v>
      </c>
      <c r="D41" s="221">
        <v>0</v>
      </c>
      <c r="E41" s="49" t="str">
        <f t="shared" si="5"/>
        <v>нд</v>
      </c>
      <c r="F41" s="49" t="str">
        <f t="shared" si="6"/>
        <v>нд</v>
      </c>
      <c r="G41" s="49">
        <v>0</v>
      </c>
      <c r="H41" s="49" t="s">
        <v>314</v>
      </c>
      <c r="I41" s="49" t="s">
        <v>314</v>
      </c>
      <c r="J41" s="49">
        <f>IF('1. паспорт местоположение'!$C$22="Прочие инвестиционные проекты",0,VLOOKUP($A$11,'[1]6.2. отчет'!$D:$AGO,263,0))</f>
        <v>0</v>
      </c>
      <c r="K41" s="49">
        <f>IF('1. паспорт местоположение'!$C$22="Прочие инвестиционные проекты",0,VLOOKUP($A$11,'[1]6.2. отчет'!$D:$AGO,318,0))</f>
        <v>0</v>
      </c>
    </row>
    <row r="42" spans="1:11" x14ac:dyDescent="0.25">
      <c r="A42" s="10" t="s">
        <v>64</v>
      </c>
      <c r="B42" s="54" t="s">
        <v>447</v>
      </c>
      <c r="C42" s="49" t="s">
        <v>314</v>
      </c>
      <c r="D42" s="221">
        <f>VLOOKUP($A$11,'[1]6.2. отчет'!$D:$OZ,412,0)</f>
        <v>1</v>
      </c>
      <c r="E42" s="49" t="str">
        <f t="shared" si="5"/>
        <v>нд</v>
      </c>
      <c r="F42" s="49" t="str">
        <f t="shared" si="6"/>
        <v>нд</v>
      </c>
      <c r="G42" s="49">
        <v>0</v>
      </c>
      <c r="H42" s="49" t="s">
        <v>314</v>
      </c>
      <c r="I42" s="49" t="s">
        <v>314</v>
      </c>
      <c r="J42" s="49">
        <f>IF('1. паспорт местоположение'!$C$22="Прочие инвестиционные проекты",0,VLOOKUP($A$11,'[1]6.2. отчет'!$D:$AGO,266,0))</f>
        <v>0</v>
      </c>
      <c r="K42" s="49">
        <f>IF('1. паспорт местоположение'!$C$22="Прочие инвестиционные проекты",0,VLOOKUP($A$11,'[1]6.2. отчет'!$D:$AGO,321,0))</f>
        <v>0</v>
      </c>
    </row>
    <row r="43" spans="1:11" s="74" customFormat="1" x14ac:dyDescent="0.25">
      <c r="A43" s="12" t="s">
        <v>15</v>
      </c>
      <c r="B43" s="11" t="s">
        <v>63</v>
      </c>
      <c r="C43" s="49"/>
      <c r="D43" s="221"/>
      <c r="E43" s="49"/>
      <c r="F43" s="49"/>
      <c r="G43" s="49"/>
      <c r="H43" s="49"/>
      <c r="I43" s="48"/>
      <c r="J43" s="49"/>
      <c r="K43" s="48"/>
    </row>
    <row r="44" spans="1:11" x14ac:dyDescent="0.25">
      <c r="A44" s="10" t="s">
        <v>62</v>
      </c>
      <c r="B44" s="6" t="s">
        <v>61</v>
      </c>
      <c r="C44" s="49" t="str">
        <f>VLOOKUP($A$11,'[1]6.2. отчет'!$D:$FX,168,0)</f>
        <v>нд</v>
      </c>
      <c r="D44" s="221">
        <v>0</v>
      </c>
      <c r="E44" s="49" t="str">
        <f t="shared" ref="E44:E50" si="7">F44</f>
        <v>нд</v>
      </c>
      <c r="F44" s="49" t="str">
        <f t="shared" si="6"/>
        <v>нд</v>
      </c>
      <c r="G44" s="49">
        <f>VLOOKUP($A$11,'[1]6.2. отчет'!$D:$GJ,180,0)</f>
        <v>0</v>
      </c>
      <c r="H44" s="49" t="str">
        <f>VLOOKUP($A$11,'[1]6.2. отчет'!$D:$AGO,191,0)</f>
        <v>нд</v>
      </c>
      <c r="I44" s="49" t="str">
        <f>VLOOKUP($A$11,'[1]6.2. отчет'!$D:$AGO,246,0)</f>
        <v>нд</v>
      </c>
      <c r="J44" s="49">
        <f>VLOOKUP($A$11,'[1]6.2. отчет'!$D:$AGO,257,0)</f>
        <v>0</v>
      </c>
      <c r="K44" s="49">
        <f>VLOOKUP($A$11,'[1]6.2. отчет'!$D:$AGO,312,0)</f>
        <v>0</v>
      </c>
    </row>
    <row r="45" spans="1:11" x14ac:dyDescent="0.25">
      <c r="A45" s="10" t="s">
        <v>60</v>
      </c>
      <c r="B45" s="6" t="s">
        <v>59</v>
      </c>
      <c r="C45" s="49" t="str">
        <f>VLOOKUP($A$11,'[1]6.2. отчет'!$D:$FX,169,0)</f>
        <v>нд</v>
      </c>
      <c r="D45" s="221">
        <f>VLOOKUP($A$11,'[1]6.2. отчет'!$D:$OZ,410,0)</f>
        <v>0</v>
      </c>
      <c r="E45" s="49" t="str">
        <f t="shared" si="7"/>
        <v>нд</v>
      </c>
      <c r="F45" s="49" t="str">
        <f t="shared" si="6"/>
        <v>нд</v>
      </c>
      <c r="G45" s="49">
        <f>VLOOKUP($A$11,'[1]6.2. отчет'!$D:$GJ,181,0)</f>
        <v>0</v>
      </c>
      <c r="H45" s="49" t="str">
        <f>VLOOKUP($A$11,'[1]6.2. отчет'!$D:$AGO,192,0)</f>
        <v>нд</v>
      </c>
      <c r="I45" s="49" t="str">
        <f>VLOOKUP($A$11,'[1]6.2. отчет'!$D:$AGO,247,0)</f>
        <v>нд</v>
      </c>
      <c r="J45" s="49">
        <f>VLOOKUP($A$11,'[1]6.2. отчет'!$D:$AGO,258,0)</f>
        <v>0</v>
      </c>
      <c r="K45" s="49">
        <f>VLOOKUP($A$11,'[1]6.2. отчет'!$D:$AGO,313,0)</f>
        <v>0</v>
      </c>
    </row>
    <row r="46" spans="1:11" x14ac:dyDescent="0.25">
      <c r="A46" s="10" t="s">
        <v>58</v>
      </c>
      <c r="B46" s="6" t="s">
        <v>57</v>
      </c>
      <c r="C46" s="49" t="str">
        <f>VLOOKUP($A$11,'[1]6.2. отчет'!$D:$FX,170,0)</f>
        <v>нд</v>
      </c>
      <c r="D46" s="221">
        <f>VLOOKUP($A$11,'[1]6.2. отчет'!$D:$OZ,411,0)</f>
        <v>0</v>
      </c>
      <c r="E46" s="49" t="str">
        <f t="shared" si="7"/>
        <v>нд</v>
      </c>
      <c r="F46" s="49" t="str">
        <f t="shared" si="6"/>
        <v>нд</v>
      </c>
      <c r="G46" s="49">
        <f>VLOOKUP($A$11,'[1]6.2. отчет'!$D:$GJ,182,0)</f>
        <v>0</v>
      </c>
      <c r="H46" s="49" t="str">
        <f>VLOOKUP($A$11,'[1]6.2. отчет'!$D:$AGO,193,0)</f>
        <v>нд</v>
      </c>
      <c r="I46" s="49" t="str">
        <f>VLOOKUP($A$11,'[1]6.2. отчет'!$D:$AGO,248,0)</f>
        <v>нд</v>
      </c>
      <c r="J46" s="49">
        <f>VLOOKUP($A$11,'[1]6.2. отчет'!$D:$AGO,259,0)</f>
        <v>0</v>
      </c>
      <c r="K46" s="49">
        <f>VLOOKUP($A$11,'[1]6.2. отчет'!$D:$AGO,314,0)</f>
        <v>0</v>
      </c>
    </row>
    <row r="47" spans="1:11" ht="31.5" x14ac:dyDescent="0.25">
      <c r="A47" s="10" t="s">
        <v>56</v>
      </c>
      <c r="B47" s="6" t="s">
        <v>55</v>
      </c>
      <c r="C47" s="49" t="str">
        <f>VLOOKUP($A$11,'[1]6.2. отчет'!$D:$FX,172,0)</f>
        <v>нд</v>
      </c>
      <c r="D47" s="221">
        <f>VLOOKUP($A$11,'[1]6.2. отчет'!$D:$OZ,409,0)</f>
        <v>0</v>
      </c>
      <c r="E47" s="49" t="str">
        <f t="shared" si="7"/>
        <v>нд</v>
      </c>
      <c r="F47" s="49" t="str">
        <f t="shared" si="6"/>
        <v>нд</v>
      </c>
      <c r="G47" s="49">
        <f>VLOOKUP($A$11,'[1]6.2. отчет'!$D:$GJ,184,0)</f>
        <v>0</v>
      </c>
      <c r="H47" s="49" t="str">
        <f>VLOOKUP($A$11,'[1]6.2. отчет'!$D:$AGO,195,0)</f>
        <v>нд</v>
      </c>
      <c r="I47" s="49" t="str">
        <f>VLOOKUP($A$11,'[1]6.2. отчет'!$D:$AGO,250,0)</f>
        <v>нд</v>
      </c>
      <c r="J47" s="49">
        <f>VLOOKUP($A$11,'[1]6.2. отчет'!$D:$AGO,261,0)</f>
        <v>0</v>
      </c>
      <c r="K47" s="49">
        <f>VLOOKUP($A$11,'[1]6.2. отчет'!$D:$AGO,316,0)</f>
        <v>0</v>
      </c>
    </row>
    <row r="48" spans="1:11" ht="31.5" x14ac:dyDescent="0.25">
      <c r="A48" s="10" t="s">
        <v>54</v>
      </c>
      <c r="B48" s="6" t="s">
        <v>53</v>
      </c>
      <c r="C48" s="49" t="str">
        <f>VLOOKUP($A$11,'[1]6.2. отчет'!$D:$FX,173,0)</f>
        <v>нд</v>
      </c>
      <c r="D48" s="221">
        <v>0</v>
      </c>
      <c r="E48" s="49" t="str">
        <f t="shared" si="7"/>
        <v>нд</v>
      </c>
      <c r="F48" s="49" t="str">
        <f t="shared" si="6"/>
        <v>нд</v>
      </c>
      <c r="G48" s="49">
        <f>VLOOKUP($A$11,'[1]6.2. отчет'!$D:$GJ,185,0)</f>
        <v>0</v>
      </c>
      <c r="H48" s="49" t="str">
        <f>VLOOKUP($A$11,'[1]6.2. отчет'!$D:$AGO,196,0)</f>
        <v>нд</v>
      </c>
      <c r="I48" s="49" t="str">
        <f>VLOOKUP($A$11,'[1]6.2. отчет'!$D:$AGO,251,0)</f>
        <v>нд</v>
      </c>
      <c r="J48" s="49">
        <f>VLOOKUP($A$11,'[1]6.2. отчет'!$D:$AGO,262,0)</f>
        <v>0</v>
      </c>
      <c r="K48" s="49">
        <f>VLOOKUP($A$11,'[1]6.2. отчет'!$D:$AGO,317,0)</f>
        <v>0</v>
      </c>
    </row>
    <row r="49" spans="1:11" x14ac:dyDescent="0.25">
      <c r="A49" s="10" t="s">
        <v>52</v>
      </c>
      <c r="B49" s="6" t="s">
        <v>51</v>
      </c>
      <c r="C49" s="49" t="str">
        <f>VLOOKUP($A$11,'[1]6.2. отчет'!$D:$FX,174,0)</f>
        <v>нд</v>
      </c>
      <c r="D49" s="221">
        <v>0</v>
      </c>
      <c r="E49" s="49" t="str">
        <f t="shared" si="7"/>
        <v>нд</v>
      </c>
      <c r="F49" s="49" t="str">
        <f t="shared" si="6"/>
        <v>нд</v>
      </c>
      <c r="G49" s="49">
        <f>VLOOKUP($A$11,'[1]6.2. отчет'!$D:$GJ,186,0)</f>
        <v>0</v>
      </c>
      <c r="H49" s="49" t="str">
        <f>VLOOKUP($A$11,'[1]6.2. отчет'!$D:$AGO,197,0)</f>
        <v>нд</v>
      </c>
      <c r="I49" s="49" t="str">
        <f>VLOOKUP($A$11,'[1]6.2. отчет'!$D:$AGO,252,0)</f>
        <v>нд</v>
      </c>
      <c r="J49" s="49">
        <f>VLOOKUP($A$11,'[1]6.2. отчет'!$D:$AGO,263,0)</f>
        <v>0</v>
      </c>
      <c r="K49" s="49">
        <f>VLOOKUP($A$11,'[1]6.2. отчет'!$D:$AGO,318,0)</f>
        <v>0</v>
      </c>
    </row>
    <row r="50" spans="1:11" x14ac:dyDescent="0.25">
      <c r="A50" s="10" t="s">
        <v>50</v>
      </c>
      <c r="B50" s="6" t="s">
        <v>447</v>
      </c>
      <c r="C50" s="49" t="str">
        <f>VLOOKUP($A$11,'[1]6.2. отчет'!$D:$FX,177,0)</f>
        <v>нд</v>
      </c>
      <c r="D50" s="221">
        <f>VLOOKUP($A$11,'[1]6.2. отчет'!$D:$OZ,412,0)</f>
        <v>1</v>
      </c>
      <c r="E50" s="49" t="str">
        <f t="shared" si="7"/>
        <v>нд</v>
      </c>
      <c r="F50" s="49" t="str">
        <f t="shared" si="6"/>
        <v>нд</v>
      </c>
      <c r="G50" s="49">
        <f>VLOOKUP($A$11,'[1]6.2. отчет'!$D:$GJ,189,0)</f>
        <v>0</v>
      </c>
      <c r="H50" s="49" t="str">
        <f>VLOOKUP($A$11,'[1]6.2. отчет'!$D:$AGO,200,0)</f>
        <v>нд</v>
      </c>
      <c r="I50" s="49" t="str">
        <f>VLOOKUP($A$11,'[1]6.2. отчет'!$D:$AGO,255,0)</f>
        <v>нд</v>
      </c>
      <c r="J50" s="49">
        <f>VLOOKUP($A$11,'[1]6.2. отчет'!$D:$AGO,266,0)</f>
        <v>1</v>
      </c>
      <c r="K50" s="49">
        <f>VLOOKUP($A$11,'[1]6.2. отчет'!$D:$AGO,321,0)</f>
        <v>0</v>
      </c>
    </row>
    <row r="51" spans="1:11" ht="31.5" x14ac:dyDescent="0.25">
      <c r="A51" s="12" t="s">
        <v>13</v>
      </c>
      <c r="B51" s="11" t="s">
        <v>49</v>
      </c>
      <c r="C51" s="49"/>
      <c r="D51" s="221"/>
      <c r="E51" s="49"/>
      <c r="F51" s="49"/>
      <c r="G51" s="49"/>
      <c r="H51" s="49"/>
      <c r="I51" s="48"/>
      <c r="J51" s="49"/>
      <c r="K51" s="48"/>
    </row>
    <row r="52" spans="1:11" x14ac:dyDescent="0.25">
      <c r="A52" s="10" t="s">
        <v>48</v>
      </c>
      <c r="B52" s="6" t="s">
        <v>47</v>
      </c>
      <c r="C52" s="49" t="str">
        <f>VLOOKUP($A$11,'[1]6.2. отчет'!$D:$FX,167,0)</f>
        <v>нд</v>
      </c>
      <c r="D52" s="221">
        <f>VLOOKUP($A$11,'[1]6.2. отчет'!$D:$OZ,413,0)</f>
        <v>0.35913138</v>
      </c>
      <c r="E52" s="49" t="str">
        <f t="shared" ref="E52:E57" si="8">F52</f>
        <v>нд</v>
      </c>
      <c r="F52" s="49" t="str">
        <f t="shared" si="6"/>
        <v>нд</v>
      </c>
      <c r="G52" s="49">
        <f>VLOOKUP($A$11,'[1]6.2. отчет'!$D:$GJ,179,0)</f>
        <v>0</v>
      </c>
      <c r="H52" s="49" t="str">
        <f>VLOOKUP($A$11,'[1]6.2. отчет'!$D:$AGO,190,0)</f>
        <v>нд</v>
      </c>
      <c r="I52" s="49" t="str">
        <f>VLOOKUP($A$11,'[1]6.2. отчет'!$D:$AGO,245,0)</f>
        <v>нд</v>
      </c>
      <c r="J52" s="49">
        <f>VLOOKUP($A$11,'[1]6.2. отчет'!$D:$AGO,256,0)</f>
        <v>0.35913138</v>
      </c>
      <c r="K52" s="49">
        <f>VLOOKUP($A$11,'[1]6.2. отчет'!$D:$AGO,311,0)</f>
        <v>0</v>
      </c>
    </row>
    <row r="53" spans="1:11" x14ac:dyDescent="0.25">
      <c r="A53" s="10" t="s">
        <v>46</v>
      </c>
      <c r="B53" s="6" t="s">
        <v>40</v>
      </c>
      <c r="C53" s="49" t="str">
        <f>VLOOKUP($A$11,'[1]6.2. отчет'!$D:$FX,168,0)</f>
        <v>нд</v>
      </c>
      <c r="D53" s="221">
        <v>0</v>
      </c>
      <c r="E53" s="49" t="str">
        <f t="shared" si="8"/>
        <v>нд</v>
      </c>
      <c r="F53" s="49" t="str">
        <f t="shared" si="6"/>
        <v>нд</v>
      </c>
      <c r="G53" s="49">
        <f>VLOOKUP($A$11,'[1]6.2. отчет'!$D:$GJ,180,0)</f>
        <v>0</v>
      </c>
      <c r="H53" s="49" t="str">
        <f>VLOOKUP($A$11,'[1]6.2. отчет'!$D:$AGO,191,0)</f>
        <v>нд</v>
      </c>
      <c r="I53" s="49" t="str">
        <f>VLOOKUP($A$11,'[1]6.2. отчет'!$D:$AGO,246,0)</f>
        <v>нд</v>
      </c>
      <c r="J53" s="49">
        <f>VLOOKUP($A$11,'[1]6.2. отчет'!$D:$AGO,257,0)</f>
        <v>0</v>
      </c>
      <c r="K53" s="49">
        <f>VLOOKUP($A$11,'[1]6.2. отчет'!$D:$AGO,312,0)</f>
        <v>0</v>
      </c>
    </row>
    <row r="54" spans="1:11" x14ac:dyDescent="0.25">
      <c r="A54" s="10" t="s">
        <v>45</v>
      </c>
      <c r="B54" s="54" t="s">
        <v>39</v>
      </c>
      <c r="C54" s="49" t="str">
        <f>VLOOKUP($A$11,'[1]6.2. отчет'!$D:$FX,169,0)</f>
        <v>нд</v>
      </c>
      <c r="D54" s="221">
        <f>VLOOKUP($A$11,'[1]6.2. отчет'!$D:$OZ,410,0)</f>
        <v>0</v>
      </c>
      <c r="E54" s="49" t="str">
        <f t="shared" si="8"/>
        <v>нд</v>
      </c>
      <c r="F54" s="49" t="str">
        <f t="shared" si="6"/>
        <v>нд</v>
      </c>
      <c r="G54" s="49">
        <f>VLOOKUP($A$11,'[1]6.2. отчет'!$D:$GJ,181,0)</f>
        <v>0</v>
      </c>
      <c r="H54" s="49" t="str">
        <f>VLOOKUP($A$11,'[1]6.2. отчет'!$D:$AGO,192,0)</f>
        <v>нд</v>
      </c>
      <c r="I54" s="49" t="str">
        <f>VLOOKUP($A$11,'[1]6.2. отчет'!$D:$AGO,247,0)</f>
        <v>нд</v>
      </c>
      <c r="J54" s="49">
        <f>VLOOKUP($A$11,'[1]6.2. отчет'!$D:$AGO,258,0)</f>
        <v>0</v>
      </c>
      <c r="K54" s="49">
        <f>VLOOKUP($A$11,'[1]6.2. отчет'!$D:$AGO,313,0)</f>
        <v>0</v>
      </c>
    </row>
    <row r="55" spans="1:11" x14ac:dyDescent="0.25">
      <c r="A55" s="10" t="s">
        <v>44</v>
      </c>
      <c r="B55" s="54" t="s">
        <v>38</v>
      </c>
      <c r="C55" s="49" t="str">
        <f>VLOOKUP($A$11,'[1]6.2. отчет'!$D:$FX,170,0)</f>
        <v>нд</v>
      </c>
      <c r="D55" s="221">
        <f>VLOOKUP($A$11,'[1]6.2. отчет'!$D:$OZ,411,0)</f>
        <v>0</v>
      </c>
      <c r="E55" s="49" t="str">
        <f t="shared" si="8"/>
        <v>нд</v>
      </c>
      <c r="F55" s="49" t="str">
        <f t="shared" si="6"/>
        <v>нд</v>
      </c>
      <c r="G55" s="49">
        <f>VLOOKUP($A$11,'[1]6.2. отчет'!$D:$GJ,182,0)</f>
        <v>0</v>
      </c>
      <c r="H55" s="49" t="str">
        <f>VLOOKUP($A$11,'[1]6.2. отчет'!$D:$AGO,193,0)</f>
        <v>нд</v>
      </c>
      <c r="I55" s="49" t="str">
        <f>VLOOKUP($A$11,'[1]6.2. отчет'!$D:$AGO,248,0)</f>
        <v>нд</v>
      </c>
      <c r="J55" s="49">
        <f>VLOOKUP($A$11,'[1]6.2. отчет'!$D:$AGO,259,0)</f>
        <v>0</v>
      </c>
      <c r="K55" s="49">
        <f>VLOOKUP($A$11,'[1]6.2. отчет'!$D:$AGO,314,0)</f>
        <v>0</v>
      </c>
    </row>
    <row r="56" spans="1:11" x14ac:dyDescent="0.25">
      <c r="A56" s="10" t="s">
        <v>43</v>
      </c>
      <c r="B56" s="54" t="s">
        <v>37</v>
      </c>
      <c r="C56" s="49" t="str">
        <f>VLOOKUP($A$11,'[1]6.2. отчет'!$D:$FX,171,0)</f>
        <v>нд</v>
      </c>
      <c r="D56" s="221">
        <f>VLOOKUP($A$11,'[1]6.2. отчет'!$D:$OZ,409,0)</f>
        <v>0</v>
      </c>
      <c r="E56" s="49" t="str">
        <f t="shared" si="8"/>
        <v>нд</v>
      </c>
      <c r="F56" s="49" t="str">
        <f t="shared" si="6"/>
        <v>нд</v>
      </c>
      <c r="G56" s="49">
        <f>VLOOKUP($A$11,'[1]6.2. отчет'!$D:$GJ,183,0)</f>
        <v>0</v>
      </c>
      <c r="H56" s="49" t="str">
        <f>VLOOKUP($A$11,'[1]6.2. отчет'!$D:$AGO,194,0)</f>
        <v>нд</v>
      </c>
      <c r="I56" s="49" t="str">
        <f>VLOOKUP($A$11,'[1]6.2. отчет'!$D:$AGO,249,0)</f>
        <v>нд</v>
      </c>
      <c r="J56" s="49">
        <f>VLOOKUP($A$11,'[1]6.2. отчет'!$D:$AGO,260,0)</f>
        <v>0</v>
      </c>
      <c r="K56" s="49">
        <f>VLOOKUP($A$11,'[1]6.2. отчет'!$D:$AGO,315,0)</f>
        <v>0</v>
      </c>
    </row>
    <row r="57" spans="1:11" s="74" customFormat="1" x14ac:dyDescent="0.25">
      <c r="A57" s="10" t="s">
        <v>42</v>
      </c>
      <c r="B57" s="6" t="s">
        <v>447</v>
      </c>
      <c r="C57" s="49" t="str">
        <f>VLOOKUP($A$11,'[1]6.2. отчет'!$D:$FX,177,0)</f>
        <v>нд</v>
      </c>
      <c r="D57" s="221">
        <f>VLOOKUP($A$11,'[1]6.2. отчет'!$D:$OZ,412,0)</f>
        <v>1</v>
      </c>
      <c r="E57" s="49" t="str">
        <f t="shared" si="8"/>
        <v>нд</v>
      </c>
      <c r="F57" s="49" t="str">
        <f t="shared" si="6"/>
        <v>нд</v>
      </c>
      <c r="G57" s="49">
        <f>VLOOKUP($A$11,'[1]6.2. отчет'!$D:$GJ,189,0)</f>
        <v>0</v>
      </c>
      <c r="H57" s="49" t="str">
        <f>VLOOKUP($A$11,'[1]6.2. отчет'!$D:$AGO,200,0)</f>
        <v>нд</v>
      </c>
      <c r="I57" s="49" t="str">
        <f>VLOOKUP($A$11,'[1]6.2. отчет'!$D:$AGO,255,0)</f>
        <v>нд</v>
      </c>
      <c r="J57" s="49">
        <f>VLOOKUP($A$11,'[1]6.2. отчет'!$D:$AGO,266,0)</f>
        <v>1</v>
      </c>
      <c r="K57" s="49">
        <f>VLOOKUP($A$11,'[1]6.2. отчет'!$D:$AGO,321,0)</f>
        <v>0</v>
      </c>
    </row>
    <row r="58" spans="1:11" ht="31.5" x14ac:dyDescent="0.25">
      <c r="A58" s="12" t="s">
        <v>12</v>
      </c>
      <c r="B58" s="18" t="s">
        <v>136</v>
      </c>
      <c r="C58" s="49"/>
      <c r="D58" s="49"/>
      <c r="E58" s="49"/>
      <c r="F58" s="49"/>
      <c r="G58" s="49"/>
      <c r="H58" s="49"/>
      <c r="I58" s="48"/>
      <c r="J58" s="49"/>
      <c r="K58" s="48"/>
    </row>
    <row r="59" spans="1:11" x14ac:dyDescent="0.25">
      <c r="A59" s="12" t="s">
        <v>10</v>
      </c>
      <c r="B59" s="11" t="s">
        <v>41</v>
      </c>
      <c r="C59" s="49"/>
      <c r="D59" s="49"/>
      <c r="E59" s="49"/>
      <c r="F59" s="49"/>
      <c r="G59" s="49"/>
      <c r="H59" s="49"/>
      <c r="I59" s="48"/>
      <c r="J59" s="49"/>
      <c r="K59" s="48"/>
    </row>
    <row r="60" spans="1:11" x14ac:dyDescent="0.25">
      <c r="A60" s="10" t="s">
        <v>130</v>
      </c>
      <c r="B60" s="55" t="s">
        <v>61</v>
      </c>
      <c r="C60" s="49" t="str">
        <f>VLOOKUP($A$11,'[1]6.2. отчет'!$D:$AGO,326,0)</f>
        <v>нд</v>
      </c>
      <c r="D60" s="49">
        <v>0</v>
      </c>
      <c r="E60" s="49" t="str">
        <f t="shared" ref="E60:E64" si="9">F60</f>
        <v>нд</v>
      </c>
      <c r="F60" s="49" t="str">
        <f t="shared" ref="F60:F64" si="10">C60</f>
        <v>нд</v>
      </c>
      <c r="G60" s="49">
        <f>VLOOKUP($A$11,'[1]6.2. отчет'!$D:$AGO,333,0)</f>
        <v>0</v>
      </c>
      <c r="H60" s="49" t="str">
        <f>VLOOKUP($A$11,'[1]6.2. отчет'!$D:$AGO,341,0)</f>
        <v>нд</v>
      </c>
      <c r="I60" s="49" t="str">
        <f>VLOOKUP($A$11,'[1]6.2. отчет'!$D:$AGO,366,0)</f>
        <v>нд</v>
      </c>
      <c r="J60" s="49">
        <f>VLOOKUP($A$11,'[1]6.2. отчет'!$D:$AGO,371,0)</f>
        <v>0</v>
      </c>
      <c r="K60" s="49">
        <f>VLOOKUP($A$11,'[1]6.2. отчет'!$D:$AGO,396,0)</f>
        <v>0</v>
      </c>
    </row>
    <row r="61" spans="1:11" x14ac:dyDescent="0.25">
      <c r="A61" s="10" t="s">
        <v>131</v>
      </c>
      <c r="B61" s="55" t="s">
        <v>59</v>
      </c>
      <c r="C61" s="49" t="str">
        <f>VLOOKUP($A$11,'[1]6.2. отчет'!$D:$AGO,327,0)</f>
        <v>нд</v>
      </c>
      <c r="D61" s="49">
        <v>0</v>
      </c>
      <c r="E61" s="49" t="str">
        <f t="shared" si="9"/>
        <v>нд</v>
      </c>
      <c r="F61" s="49" t="str">
        <f t="shared" si="10"/>
        <v>нд</v>
      </c>
      <c r="G61" s="49">
        <f>VLOOKUP($A$11,'[1]6.2. отчет'!$D:$AGO,334,0)</f>
        <v>0</v>
      </c>
      <c r="H61" s="49" t="str">
        <f>VLOOKUP($A$11,'[1]6.2. отчет'!$D:$AGO,338,0)</f>
        <v>нд</v>
      </c>
      <c r="I61" s="49" t="str">
        <f>VLOOKUP($A$11,'[1]6.2. отчет'!$D:$AGO,363,0)</f>
        <v>нд</v>
      </c>
      <c r="J61" s="49">
        <f>VLOOKUP($A$11,'[1]6.2. отчет'!$D:$AGO,368,0)</f>
        <v>0</v>
      </c>
      <c r="K61" s="49">
        <f>VLOOKUP($A$11,'[1]6.2. отчет'!$D:$AGO,393,0)</f>
        <v>0</v>
      </c>
    </row>
    <row r="62" spans="1:11" x14ac:dyDescent="0.25">
      <c r="A62" s="10" t="s">
        <v>132</v>
      </c>
      <c r="B62" s="55" t="s">
        <v>57</v>
      </c>
      <c r="C62" s="49" t="str">
        <f>VLOOKUP($A$11,'[1]6.2. отчет'!$D:$AGO,328,0)</f>
        <v>нд</v>
      </c>
      <c r="D62" s="49">
        <v>0</v>
      </c>
      <c r="E62" s="49" t="str">
        <f t="shared" si="9"/>
        <v>нд</v>
      </c>
      <c r="F62" s="49" t="str">
        <f t="shared" si="10"/>
        <v>нд</v>
      </c>
      <c r="G62" s="49">
        <f>VLOOKUP($A$11,'[1]6.2. отчет'!$D:$AGO,335,0)</f>
        <v>0</v>
      </c>
      <c r="H62" s="49" t="str">
        <f>VLOOKUP($A$11,'[1]6.2. отчет'!$D:$AGO,339,0)</f>
        <v>нд</v>
      </c>
      <c r="I62" s="49" t="str">
        <f>VLOOKUP($A$11,'[1]6.2. отчет'!$D:$AGO,364,0)</f>
        <v>нд</v>
      </c>
      <c r="J62" s="49">
        <f>VLOOKUP($A$11,'[1]6.2. отчет'!$D:$AGO,369,0)</f>
        <v>0</v>
      </c>
      <c r="K62" s="49">
        <f>VLOOKUP($A$11,'[1]6.2. отчет'!$D:$AGO,394,0)</f>
        <v>0</v>
      </c>
    </row>
    <row r="63" spans="1:11" x14ac:dyDescent="0.25">
      <c r="A63" s="10" t="s">
        <v>133</v>
      </c>
      <c r="B63" s="55" t="s">
        <v>135</v>
      </c>
      <c r="C63" s="49" t="str">
        <f>VLOOKUP($A$11,'[1]6.2. отчет'!$D:$AGO,329,0)</f>
        <v>нд</v>
      </c>
      <c r="D63" s="49">
        <v>0</v>
      </c>
      <c r="E63" s="49" t="str">
        <f t="shared" si="9"/>
        <v>нд</v>
      </c>
      <c r="F63" s="49" t="str">
        <f t="shared" si="10"/>
        <v>нд</v>
      </c>
      <c r="G63" s="49">
        <f>VLOOKUP($A$11,'[1]6.2. отчет'!$D:$AGO,336,0)</f>
        <v>0</v>
      </c>
      <c r="H63" s="49" t="str">
        <f>VLOOKUP($A$11,'[1]6.2. отчет'!$D:$AGO,340,0)</f>
        <v>нд</v>
      </c>
      <c r="I63" s="49" t="str">
        <f>VLOOKUP($A$11,'[1]6.2. отчет'!$D:$AGO,365,0)</f>
        <v>нд</v>
      </c>
      <c r="J63" s="49">
        <f>VLOOKUP($A$11,'[1]6.2. отчет'!$D:$AGO,370,0)</f>
        <v>0</v>
      </c>
      <c r="K63" s="49">
        <f>VLOOKUP($A$11,'[1]6.2. отчет'!$D:$AGO,395,0)</f>
        <v>0</v>
      </c>
    </row>
    <row r="64" spans="1:11" ht="18.75" x14ac:dyDescent="0.25">
      <c r="A64" s="10" t="s">
        <v>134</v>
      </c>
      <c r="B64" s="54" t="s">
        <v>36</v>
      </c>
      <c r="C64" s="49" t="str">
        <f>VLOOKUP($A$11,'[1]6.2. отчет'!$D:$AGO,330,0)</f>
        <v>нд</v>
      </c>
      <c r="D64" s="49">
        <v>0</v>
      </c>
      <c r="E64" s="49" t="str">
        <f t="shared" si="9"/>
        <v>нд</v>
      </c>
      <c r="F64" s="49" t="str">
        <f t="shared" si="10"/>
        <v>нд</v>
      </c>
      <c r="G64" s="49">
        <f>VLOOKUP($A$11,'[1]6.2. отчет'!$D:$AGO,337,0)</f>
        <v>0</v>
      </c>
      <c r="H64" s="49" t="str">
        <f>VLOOKUP($A$11,'[1]6.2. отчет'!$D:$AGO,342,0)</f>
        <v>нд</v>
      </c>
      <c r="I64" s="49" t="str">
        <f>VLOOKUP($A$11,'[1]6.2. отчет'!$D:$AGO,367,0)</f>
        <v>нд</v>
      </c>
      <c r="J64" s="49">
        <f>VLOOKUP($A$11,'[1]6.2. отчет'!$D:$AGO,372,0)</f>
        <v>0</v>
      </c>
      <c r="K64" s="49">
        <f>VLOOKUP($A$11,'[1]6.2. отчет'!$D:$AGO,396,0)</f>
        <v>0</v>
      </c>
    </row>
    <row r="66" spans="2:7" ht="50.25" customHeight="1" x14ac:dyDescent="0.25">
      <c r="B66" s="304"/>
      <c r="C66" s="304"/>
      <c r="D66" s="304"/>
      <c r="E66" s="304"/>
      <c r="F66" s="304"/>
      <c r="G66" s="69"/>
    </row>
    <row r="68" spans="2:7" ht="36.75" customHeight="1" x14ac:dyDescent="0.25">
      <c r="B68" s="305"/>
      <c r="C68" s="305"/>
      <c r="D68" s="305"/>
      <c r="E68" s="305"/>
      <c r="F68" s="305"/>
      <c r="G68" s="70"/>
    </row>
    <row r="69" spans="2:7" x14ac:dyDescent="0.25">
      <c r="B69" s="9"/>
      <c r="C69" s="9"/>
      <c r="D69" s="9"/>
      <c r="E69" s="9"/>
      <c r="F69" s="9"/>
    </row>
    <row r="70" spans="2:7" ht="51" customHeight="1" x14ac:dyDescent="0.25">
      <c r="B70" s="305"/>
      <c r="C70" s="305"/>
      <c r="D70" s="305"/>
      <c r="E70" s="305"/>
      <c r="F70" s="305"/>
      <c r="G70" s="70"/>
    </row>
    <row r="71" spans="2:7" ht="32.25" customHeight="1" x14ac:dyDescent="0.25">
      <c r="B71" s="304"/>
      <c r="C71" s="304"/>
      <c r="D71" s="304"/>
      <c r="E71" s="304"/>
      <c r="F71" s="304"/>
      <c r="G71" s="69"/>
    </row>
    <row r="72" spans="2:7" ht="51.75" customHeight="1" x14ac:dyDescent="0.25">
      <c r="B72" s="305"/>
      <c r="C72" s="305"/>
      <c r="D72" s="305"/>
      <c r="E72" s="305"/>
      <c r="F72" s="305"/>
      <c r="G72" s="70"/>
    </row>
    <row r="73" spans="2:7" ht="21.75" customHeight="1" x14ac:dyDescent="0.25">
      <c r="B73" s="302"/>
      <c r="C73" s="302"/>
      <c r="D73" s="302"/>
      <c r="E73" s="302"/>
      <c r="F73" s="302"/>
      <c r="G73" s="67"/>
    </row>
    <row r="74" spans="2:7" ht="23.25" customHeight="1" x14ac:dyDescent="0.25">
      <c r="B74" s="8"/>
      <c r="C74" s="8"/>
      <c r="D74" s="8"/>
      <c r="E74" s="8"/>
      <c r="F74" s="8"/>
    </row>
    <row r="75" spans="2:7" ht="18.75" customHeight="1" x14ac:dyDescent="0.25">
      <c r="B75" s="303"/>
      <c r="C75" s="303"/>
      <c r="D75" s="303"/>
      <c r="E75" s="303"/>
      <c r="F75" s="303"/>
      <c r="G75" s="68"/>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AA4" zoomScale="70" zoomScaleNormal="70" workbookViewId="0">
      <selection activeCell="AQ26" sqref="AQ26"/>
    </sheetView>
  </sheetViews>
  <sheetFormatPr defaultColWidth="9.140625" defaultRowHeight="15" x14ac:dyDescent="0.25"/>
  <cols>
    <col min="1" max="1" width="5.28515625" style="47" customWidth="1"/>
    <col min="2" max="2" width="20.5703125" style="47" customWidth="1"/>
    <col min="3" max="3" width="16.5703125" style="47" customWidth="1"/>
    <col min="4" max="4" width="18.28515625" style="47" customWidth="1"/>
    <col min="5" max="12" width="7.7109375" style="47" customWidth="1"/>
    <col min="13" max="13" width="15.85546875" style="47" customWidth="1"/>
    <col min="14" max="14" width="16.85546875" style="47" customWidth="1"/>
    <col min="15" max="15" width="21" style="47" customWidth="1"/>
    <col min="16" max="16" width="17" style="47" customWidth="1"/>
    <col min="17" max="17" width="18.140625" style="47" customWidth="1"/>
    <col min="18" max="18" width="18.85546875" style="47" customWidth="1"/>
    <col min="19" max="19" width="15.85546875" style="47" customWidth="1"/>
    <col min="20" max="20" width="14.140625" style="47" customWidth="1"/>
    <col min="21" max="21" width="10" style="47" customWidth="1"/>
    <col min="22" max="22" width="10.42578125" style="47" customWidth="1"/>
    <col min="23" max="23" width="31" style="47" customWidth="1"/>
    <col min="24" max="24" width="16.7109375" style="47" customWidth="1"/>
    <col min="25" max="25" width="17.28515625" style="47" customWidth="1"/>
    <col min="26" max="26" width="9.140625" style="47" customWidth="1"/>
    <col min="27" max="27" width="16.5703125" style="47" customWidth="1"/>
    <col min="28" max="28" width="17.28515625" style="47" customWidth="1"/>
    <col min="29" max="29" width="24" style="47" customWidth="1"/>
    <col min="30" max="30" width="14.28515625" style="47" customWidth="1"/>
    <col min="31" max="31" width="20.7109375" style="47" customWidth="1"/>
    <col min="32" max="32" width="24.7109375" style="47" customWidth="1"/>
    <col min="33" max="33" width="26.5703125" style="47" customWidth="1"/>
    <col min="34" max="34" width="12.5703125" style="47" customWidth="1"/>
    <col min="35" max="35" width="14.5703125" style="47" customWidth="1"/>
    <col min="36" max="36" width="14.85546875" style="47" customWidth="1"/>
    <col min="37" max="37" width="16.7109375" style="47" customWidth="1"/>
    <col min="38" max="38" width="14" style="47" customWidth="1"/>
    <col min="39" max="39" width="17.5703125" style="47" customWidth="1"/>
    <col min="40" max="41" width="9.7109375" style="47" customWidth="1"/>
    <col min="42" max="42" width="17.85546875" style="47" customWidth="1"/>
    <col min="43" max="43" width="14.85546875" style="47" customWidth="1"/>
    <col min="44" max="44" width="16.7109375" style="47" customWidth="1"/>
    <col min="45" max="45" width="16" style="47" customWidth="1"/>
    <col min="46" max="46" width="17.42578125" style="47" customWidth="1"/>
    <col min="47" max="47" width="16.85546875" style="47" customWidth="1"/>
    <col min="48" max="48" width="15.710937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33"/>
    </row>
    <row r="5" spans="1:48" ht="18.75" customHeight="1" x14ac:dyDescent="0.25">
      <c r="A5" s="226" t="str">
        <f>'1. паспорт местоположение'!$A$5</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33"/>
    </row>
    <row r="7" spans="1:48" ht="18.75" x14ac:dyDescent="0.25">
      <c r="A7" s="317" t="s">
        <v>5</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ht="18.75" x14ac:dyDescent="0.25">
      <c r="A9" s="318" t="s">
        <v>251</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row>
    <row r="10" spans="1:48" ht="15.75" x14ac:dyDescent="0.25">
      <c r="A10" s="316" t="s">
        <v>4</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ht="18.75" x14ac:dyDescent="0.25">
      <c r="A12" s="318" t="str">
        <f>'1. паспорт местоположение'!A12:C12</f>
        <v>O_Che477_24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row>
    <row r="13" spans="1:48" ht="15.75" x14ac:dyDescent="0.25">
      <c r="A13" s="316" t="s">
        <v>3</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15.75" x14ac:dyDescent="0.25">
      <c r="A15" s="334" t="str">
        <f>'1. паспорт местоположение'!A15:C15</f>
        <v>Приобретение оборудования для намотки кабеля на барабан УПК-25-РЧ-003 (Перемоточное устройство с электроприв.и РКУ)</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16" t="s">
        <v>2</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29" t="s">
        <v>403</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23" t="s">
        <v>404</v>
      </c>
      <c r="B22" s="330" t="s">
        <v>452</v>
      </c>
      <c r="C22" s="323" t="s">
        <v>405</v>
      </c>
      <c r="D22" s="323" t="s">
        <v>453</v>
      </c>
      <c r="E22" s="326" t="s">
        <v>406</v>
      </c>
      <c r="F22" s="327"/>
      <c r="G22" s="327"/>
      <c r="H22" s="327"/>
      <c r="I22" s="327"/>
      <c r="J22" s="327"/>
      <c r="K22" s="327"/>
      <c r="L22" s="328"/>
      <c r="M22" s="323" t="s">
        <v>407</v>
      </c>
      <c r="N22" s="323" t="s">
        <v>408</v>
      </c>
      <c r="O22" s="323" t="s">
        <v>454</v>
      </c>
      <c r="P22" s="320" t="s">
        <v>409</v>
      </c>
      <c r="Q22" s="320" t="s">
        <v>410</v>
      </c>
      <c r="R22" s="320" t="s">
        <v>411</v>
      </c>
      <c r="S22" s="320" t="s">
        <v>412</v>
      </c>
      <c r="T22" s="320"/>
      <c r="U22" s="335" t="s">
        <v>413</v>
      </c>
      <c r="V22" s="335" t="s">
        <v>414</v>
      </c>
      <c r="W22" s="320" t="s">
        <v>415</v>
      </c>
      <c r="X22" s="320" t="s">
        <v>455</v>
      </c>
      <c r="Y22" s="320" t="s">
        <v>416</v>
      </c>
      <c r="Z22" s="336" t="s">
        <v>417</v>
      </c>
      <c r="AA22" s="320" t="s">
        <v>456</v>
      </c>
      <c r="AB22" s="320" t="s">
        <v>418</v>
      </c>
      <c r="AC22" s="320" t="s">
        <v>419</v>
      </c>
      <c r="AD22" s="320" t="s">
        <v>420</v>
      </c>
      <c r="AE22" s="320" t="s">
        <v>421</v>
      </c>
      <c r="AF22" s="320" t="s">
        <v>422</v>
      </c>
      <c r="AG22" s="320"/>
      <c r="AH22" s="320"/>
      <c r="AI22" s="320"/>
      <c r="AJ22" s="320"/>
      <c r="AK22" s="320"/>
      <c r="AL22" s="320" t="s">
        <v>423</v>
      </c>
      <c r="AM22" s="320"/>
      <c r="AN22" s="320"/>
      <c r="AO22" s="320"/>
      <c r="AP22" s="320" t="s">
        <v>424</v>
      </c>
      <c r="AQ22" s="320"/>
      <c r="AR22" s="320" t="s">
        <v>425</v>
      </c>
      <c r="AS22" s="320" t="s">
        <v>426</v>
      </c>
      <c r="AT22" s="320" t="s">
        <v>427</v>
      </c>
      <c r="AU22" s="320" t="s">
        <v>428</v>
      </c>
      <c r="AV22" s="320" t="s">
        <v>429</v>
      </c>
    </row>
    <row r="23" spans="1:48" ht="64.5" customHeight="1" x14ac:dyDescent="0.25">
      <c r="A23" s="324"/>
      <c r="B23" s="331"/>
      <c r="C23" s="324"/>
      <c r="D23" s="324"/>
      <c r="E23" s="342" t="s">
        <v>430</v>
      </c>
      <c r="F23" s="344" t="s">
        <v>40</v>
      </c>
      <c r="G23" s="344" t="s">
        <v>39</v>
      </c>
      <c r="H23" s="344" t="s">
        <v>38</v>
      </c>
      <c r="I23" s="346" t="s">
        <v>431</v>
      </c>
      <c r="J23" s="346" t="s">
        <v>432</v>
      </c>
      <c r="K23" s="346" t="s">
        <v>433</v>
      </c>
      <c r="L23" s="344" t="s">
        <v>395</v>
      </c>
      <c r="M23" s="324"/>
      <c r="N23" s="324"/>
      <c r="O23" s="324"/>
      <c r="P23" s="320"/>
      <c r="Q23" s="320"/>
      <c r="R23" s="320"/>
      <c r="S23" s="321" t="s">
        <v>0</v>
      </c>
      <c r="T23" s="321" t="s">
        <v>434</v>
      </c>
      <c r="U23" s="335"/>
      <c r="V23" s="335"/>
      <c r="W23" s="320"/>
      <c r="X23" s="320"/>
      <c r="Y23" s="320"/>
      <c r="Z23" s="320"/>
      <c r="AA23" s="320"/>
      <c r="AB23" s="320"/>
      <c r="AC23" s="320"/>
      <c r="AD23" s="320"/>
      <c r="AE23" s="320"/>
      <c r="AF23" s="320" t="s">
        <v>435</v>
      </c>
      <c r="AG23" s="320"/>
      <c r="AH23" s="320" t="s">
        <v>436</v>
      </c>
      <c r="AI23" s="320"/>
      <c r="AJ23" s="323" t="s">
        <v>437</v>
      </c>
      <c r="AK23" s="323" t="s">
        <v>438</v>
      </c>
      <c r="AL23" s="323" t="s">
        <v>439</v>
      </c>
      <c r="AM23" s="323" t="s">
        <v>440</v>
      </c>
      <c r="AN23" s="323" t="s">
        <v>441</v>
      </c>
      <c r="AO23" s="323" t="s">
        <v>442</v>
      </c>
      <c r="AP23" s="323" t="s">
        <v>443</v>
      </c>
      <c r="AQ23" s="337" t="s">
        <v>434</v>
      </c>
      <c r="AR23" s="320"/>
      <c r="AS23" s="320"/>
      <c r="AT23" s="320"/>
      <c r="AU23" s="320"/>
      <c r="AV23" s="320"/>
    </row>
    <row r="24" spans="1:48" ht="96.75" customHeight="1" x14ac:dyDescent="0.25">
      <c r="A24" s="325"/>
      <c r="B24" s="332"/>
      <c r="C24" s="325"/>
      <c r="D24" s="325"/>
      <c r="E24" s="343"/>
      <c r="F24" s="345"/>
      <c r="G24" s="345"/>
      <c r="H24" s="345"/>
      <c r="I24" s="347"/>
      <c r="J24" s="347"/>
      <c r="K24" s="347"/>
      <c r="L24" s="345"/>
      <c r="M24" s="325"/>
      <c r="N24" s="325"/>
      <c r="O24" s="325"/>
      <c r="P24" s="320"/>
      <c r="Q24" s="320"/>
      <c r="R24" s="320"/>
      <c r="S24" s="322"/>
      <c r="T24" s="322"/>
      <c r="U24" s="335"/>
      <c r="V24" s="335"/>
      <c r="W24" s="320"/>
      <c r="X24" s="320"/>
      <c r="Y24" s="320"/>
      <c r="Z24" s="320"/>
      <c r="AA24" s="320"/>
      <c r="AB24" s="320"/>
      <c r="AC24" s="320"/>
      <c r="AD24" s="320"/>
      <c r="AE24" s="320"/>
      <c r="AF24" s="173" t="s">
        <v>444</v>
      </c>
      <c r="AG24" s="173" t="s">
        <v>445</v>
      </c>
      <c r="AH24" s="174" t="s">
        <v>0</v>
      </c>
      <c r="AI24" s="174" t="s">
        <v>434</v>
      </c>
      <c r="AJ24" s="325"/>
      <c r="AK24" s="325"/>
      <c r="AL24" s="325"/>
      <c r="AM24" s="325"/>
      <c r="AN24" s="325"/>
      <c r="AO24" s="325"/>
      <c r="AP24" s="325"/>
      <c r="AQ24" s="338"/>
      <c r="AR24" s="320"/>
      <c r="AS24" s="320"/>
      <c r="AT24" s="320"/>
      <c r="AU24" s="320"/>
      <c r="AV24" s="320"/>
    </row>
    <row r="25" spans="1:48" s="79" customFormat="1" ht="11.25" x14ac:dyDescent="0.2">
      <c r="A25" s="78">
        <v>1</v>
      </c>
      <c r="B25" s="78">
        <v>2</v>
      </c>
      <c r="C25" s="78">
        <v>4</v>
      </c>
      <c r="D25" s="78">
        <v>5</v>
      </c>
      <c r="E25" s="78">
        <v>6</v>
      </c>
      <c r="F25" s="78">
        <f t="shared" ref="F25:AV25" si="0">E25+1</f>
        <v>7</v>
      </c>
      <c r="G25" s="78">
        <f t="shared" si="0"/>
        <v>8</v>
      </c>
      <c r="H25" s="78">
        <f t="shared" si="0"/>
        <v>9</v>
      </c>
      <c r="I25" s="78">
        <f t="shared" si="0"/>
        <v>10</v>
      </c>
      <c r="J25" s="78">
        <f t="shared" si="0"/>
        <v>11</v>
      </c>
      <c r="K25" s="78">
        <f t="shared" si="0"/>
        <v>12</v>
      </c>
      <c r="L25" s="78">
        <f t="shared" si="0"/>
        <v>13</v>
      </c>
      <c r="M25" s="78">
        <f t="shared" si="0"/>
        <v>14</v>
      </c>
      <c r="N25" s="78">
        <f t="shared" si="0"/>
        <v>15</v>
      </c>
      <c r="O25" s="78">
        <f t="shared" si="0"/>
        <v>16</v>
      </c>
      <c r="P25" s="78">
        <f t="shared" si="0"/>
        <v>17</v>
      </c>
      <c r="Q25" s="78">
        <f t="shared" si="0"/>
        <v>18</v>
      </c>
      <c r="R25" s="78">
        <f t="shared" si="0"/>
        <v>19</v>
      </c>
      <c r="S25" s="78">
        <f t="shared" si="0"/>
        <v>20</v>
      </c>
      <c r="T25" s="78">
        <f t="shared" si="0"/>
        <v>21</v>
      </c>
      <c r="U25" s="78">
        <f t="shared" si="0"/>
        <v>22</v>
      </c>
      <c r="V25" s="78">
        <f t="shared" si="0"/>
        <v>23</v>
      </c>
      <c r="W25" s="78">
        <f t="shared" si="0"/>
        <v>24</v>
      </c>
      <c r="X25" s="78">
        <f t="shared" si="0"/>
        <v>25</v>
      </c>
      <c r="Y25" s="78">
        <f t="shared" si="0"/>
        <v>26</v>
      </c>
      <c r="Z25" s="78">
        <f t="shared" si="0"/>
        <v>27</v>
      </c>
      <c r="AA25" s="78">
        <f t="shared" si="0"/>
        <v>28</v>
      </c>
      <c r="AB25" s="78">
        <f t="shared" si="0"/>
        <v>29</v>
      </c>
      <c r="AC25" s="78">
        <f t="shared" si="0"/>
        <v>30</v>
      </c>
      <c r="AD25" s="78">
        <f t="shared" si="0"/>
        <v>31</v>
      </c>
      <c r="AE25" s="78">
        <f t="shared" si="0"/>
        <v>32</v>
      </c>
      <c r="AF25" s="78">
        <f t="shared" si="0"/>
        <v>33</v>
      </c>
      <c r="AG25" s="78">
        <f t="shared" si="0"/>
        <v>34</v>
      </c>
      <c r="AH25" s="78">
        <f t="shared" si="0"/>
        <v>35</v>
      </c>
      <c r="AI25" s="78">
        <f t="shared" si="0"/>
        <v>36</v>
      </c>
      <c r="AJ25" s="78">
        <f t="shared" si="0"/>
        <v>37</v>
      </c>
      <c r="AK25" s="78">
        <f t="shared" si="0"/>
        <v>38</v>
      </c>
      <c r="AL25" s="78">
        <f t="shared" si="0"/>
        <v>39</v>
      </c>
      <c r="AM25" s="78">
        <f t="shared" si="0"/>
        <v>40</v>
      </c>
      <c r="AN25" s="78">
        <f t="shared" si="0"/>
        <v>41</v>
      </c>
      <c r="AO25" s="78">
        <f t="shared" si="0"/>
        <v>42</v>
      </c>
      <c r="AP25" s="78">
        <f t="shared" si="0"/>
        <v>43</v>
      </c>
      <c r="AQ25" s="78">
        <f t="shared" si="0"/>
        <v>44</v>
      </c>
      <c r="AR25" s="78">
        <f t="shared" si="0"/>
        <v>45</v>
      </c>
      <c r="AS25" s="78">
        <f t="shared" si="0"/>
        <v>46</v>
      </c>
      <c r="AT25" s="78">
        <f t="shared" si="0"/>
        <v>47</v>
      </c>
      <c r="AU25" s="78">
        <f t="shared" si="0"/>
        <v>48</v>
      </c>
      <c r="AV25" s="78">
        <f t="shared" si="0"/>
        <v>49</v>
      </c>
    </row>
    <row r="26" spans="1:48" s="204" customFormat="1" ht="54.75" customHeight="1" x14ac:dyDescent="0.2">
      <c r="A26" s="189">
        <v>1</v>
      </c>
      <c r="B26" s="190" t="s">
        <v>251</v>
      </c>
      <c r="C26" s="190" t="s">
        <v>479</v>
      </c>
      <c r="D26" s="191" t="s">
        <v>314</v>
      </c>
      <c r="E26" s="189">
        <v>1</v>
      </c>
      <c r="F26" s="192">
        <v>0</v>
      </c>
      <c r="G26" s="192">
        <v>0</v>
      </c>
      <c r="H26" s="192">
        <v>0</v>
      </c>
      <c r="I26" s="192">
        <v>0</v>
      </c>
      <c r="J26" s="192">
        <v>0</v>
      </c>
      <c r="K26" s="192">
        <v>0</v>
      </c>
      <c r="L26" s="192">
        <v>0</v>
      </c>
      <c r="M26" s="193" t="s">
        <v>480</v>
      </c>
      <c r="N26" s="194" t="s">
        <v>481</v>
      </c>
      <c r="O26" s="195" t="s">
        <v>251</v>
      </c>
      <c r="P26" s="196">
        <v>359.13137999999998</v>
      </c>
      <c r="Q26" s="193" t="s">
        <v>482</v>
      </c>
      <c r="R26" s="196">
        <v>359.13137999999998</v>
      </c>
      <c r="S26" s="197" t="s">
        <v>483</v>
      </c>
      <c r="T26" s="195" t="s">
        <v>483</v>
      </c>
      <c r="U26" s="195">
        <v>1</v>
      </c>
      <c r="V26" s="195">
        <v>1</v>
      </c>
      <c r="W26" s="198" t="s">
        <v>484</v>
      </c>
      <c r="X26" s="199">
        <v>359.13137999999998</v>
      </c>
      <c r="Y26" s="195" t="s">
        <v>450</v>
      </c>
      <c r="Z26" s="195" t="s">
        <v>450</v>
      </c>
      <c r="AA26" s="195" t="s">
        <v>450</v>
      </c>
      <c r="AB26" s="192">
        <v>359.13137999999998</v>
      </c>
      <c r="AC26" s="195" t="s">
        <v>484</v>
      </c>
      <c r="AD26" s="196">
        <v>430.95765999999998</v>
      </c>
      <c r="AE26" s="192">
        <v>430.95765999999998</v>
      </c>
      <c r="AF26" s="200" t="s">
        <v>485</v>
      </c>
      <c r="AG26" s="201" t="s">
        <v>486</v>
      </c>
      <c r="AH26" s="202">
        <v>45196</v>
      </c>
      <c r="AI26" s="202">
        <v>45196</v>
      </c>
      <c r="AJ26" s="202">
        <v>45198</v>
      </c>
      <c r="AK26" s="202">
        <v>45203</v>
      </c>
      <c r="AL26" s="339" t="s">
        <v>488</v>
      </c>
      <c r="AM26" s="340"/>
      <c r="AN26" s="340"/>
      <c r="AO26" s="341"/>
      <c r="AP26" s="202">
        <v>45208</v>
      </c>
      <c r="AQ26" s="202">
        <v>45208</v>
      </c>
      <c r="AR26" s="202">
        <v>45209</v>
      </c>
      <c r="AS26" s="202">
        <v>45209</v>
      </c>
      <c r="AT26" s="202">
        <v>45240</v>
      </c>
      <c r="AU26" s="203" t="s">
        <v>314</v>
      </c>
      <c r="AV26" s="203"/>
    </row>
    <row r="76" spans="1:1" ht="409.5" x14ac:dyDescent="0.25">
      <c r="A76" s="170" t="s">
        <v>457</v>
      </c>
    </row>
  </sheetData>
  <mergeCells count="68">
    <mergeCell ref="AL26:AO26"/>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8"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85" workbookViewId="0">
      <selection activeCell="B20" sqref="B20"/>
    </sheetView>
  </sheetViews>
  <sheetFormatPr defaultColWidth="9.140625" defaultRowHeight="15.75" x14ac:dyDescent="0.25"/>
  <cols>
    <col min="1" max="2" width="66.140625" style="20" customWidth="1"/>
    <col min="3" max="3" width="16.8554687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0" t="str">
        <f>'1. паспорт местоположение'!$A$5</f>
        <v>Год раскрытия информации: 2025 год</v>
      </c>
      <c r="B5" s="350"/>
      <c r="C5" s="16"/>
      <c r="D5" s="16"/>
      <c r="E5" s="16"/>
      <c r="F5" s="16"/>
      <c r="G5" s="16"/>
      <c r="H5" s="16"/>
    </row>
    <row r="6" spans="1:8" ht="18.75" x14ac:dyDescent="0.3">
      <c r="A6" s="71"/>
      <c r="B6" s="71"/>
      <c r="C6" s="71"/>
      <c r="D6" s="71"/>
      <c r="E6" s="71"/>
      <c r="F6" s="71"/>
      <c r="G6" s="71"/>
      <c r="H6" s="71"/>
    </row>
    <row r="7" spans="1:8" ht="18.75" x14ac:dyDescent="0.25">
      <c r="A7" s="230" t="s">
        <v>5</v>
      </c>
      <c r="B7" s="230"/>
      <c r="C7" s="72"/>
      <c r="D7" s="72"/>
      <c r="E7" s="72"/>
      <c r="F7" s="72"/>
      <c r="G7" s="72"/>
      <c r="H7" s="72"/>
    </row>
    <row r="8" spans="1:8" ht="18.75" x14ac:dyDescent="0.25">
      <c r="A8" s="72"/>
      <c r="B8" s="72"/>
      <c r="C8" s="72"/>
      <c r="D8" s="72"/>
      <c r="E8" s="72"/>
      <c r="F8" s="72"/>
      <c r="G8" s="72"/>
      <c r="H8" s="72"/>
    </row>
    <row r="9" spans="1:8" x14ac:dyDescent="0.25">
      <c r="A9" s="231" t="s">
        <v>251</v>
      </c>
      <c r="B9" s="231"/>
      <c r="C9" s="75"/>
      <c r="D9" s="75"/>
      <c r="E9" s="75"/>
      <c r="F9" s="75"/>
      <c r="G9" s="75"/>
      <c r="H9" s="75"/>
    </row>
    <row r="10" spans="1:8" x14ac:dyDescent="0.25">
      <c r="A10" s="232" t="s">
        <v>4</v>
      </c>
      <c r="B10" s="232"/>
      <c r="C10" s="76"/>
      <c r="D10" s="76"/>
      <c r="E10" s="76"/>
      <c r="F10" s="76"/>
      <c r="G10" s="76"/>
      <c r="H10" s="76"/>
    </row>
    <row r="11" spans="1:8" ht="18.75" x14ac:dyDescent="0.25">
      <c r="A11" s="72"/>
      <c r="B11" s="72"/>
      <c r="C11" s="72"/>
      <c r="D11" s="72"/>
      <c r="E11" s="72"/>
      <c r="F11" s="72"/>
      <c r="G11" s="72"/>
      <c r="H11" s="72"/>
    </row>
    <row r="12" spans="1:8" ht="16.5" customHeight="1" x14ac:dyDescent="0.25">
      <c r="A12" s="231" t="str">
        <f>'1. паспорт местоположение'!A12:C12</f>
        <v>O_Che477_24</v>
      </c>
      <c r="B12" s="231"/>
      <c r="C12" s="75"/>
      <c r="D12" s="75"/>
      <c r="E12" s="75"/>
      <c r="F12" s="75"/>
      <c r="G12" s="75"/>
      <c r="H12" s="75"/>
    </row>
    <row r="13" spans="1:8" x14ac:dyDescent="0.25">
      <c r="A13" s="232" t="s">
        <v>3</v>
      </c>
      <c r="B13" s="232"/>
      <c r="C13" s="76"/>
      <c r="D13" s="76"/>
      <c r="E13" s="76"/>
      <c r="F13" s="76"/>
      <c r="G13" s="76"/>
      <c r="H13" s="76"/>
    </row>
    <row r="14" spans="1:8" ht="18.75" x14ac:dyDescent="0.25">
      <c r="A14" s="1"/>
      <c r="B14" s="1"/>
      <c r="C14" s="1"/>
      <c r="D14" s="1"/>
      <c r="E14" s="1"/>
      <c r="F14" s="1"/>
      <c r="G14" s="1"/>
      <c r="H14" s="1"/>
    </row>
    <row r="15" spans="1:8" ht="42.7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75"/>
      <c r="D15" s="75"/>
      <c r="E15" s="75"/>
      <c r="F15" s="75"/>
      <c r="G15" s="75"/>
      <c r="H15" s="75"/>
    </row>
    <row r="16" spans="1:8" x14ac:dyDescent="0.25">
      <c r="A16" s="232" t="s">
        <v>2</v>
      </c>
      <c r="B16" s="232"/>
      <c r="C16" s="76"/>
      <c r="D16" s="76"/>
      <c r="E16" s="76"/>
      <c r="F16" s="76"/>
      <c r="G16" s="76"/>
      <c r="H16" s="76"/>
    </row>
    <row r="17" spans="1:2" x14ac:dyDescent="0.25">
      <c r="B17" s="22"/>
    </row>
    <row r="18" spans="1:2" ht="15.75" customHeight="1" x14ac:dyDescent="0.25">
      <c r="A18" s="348" t="s">
        <v>243</v>
      </c>
      <c r="B18" s="349"/>
    </row>
    <row r="19" spans="1:2" x14ac:dyDescent="0.25">
      <c r="B19" s="5"/>
    </row>
    <row r="20" spans="1:2" x14ac:dyDescent="0.25">
      <c r="B20" s="23"/>
    </row>
    <row r="21" spans="1:2" s="50" customFormat="1" ht="50.25" customHeight="1" x14ac:dyDescent="0.25">
      <c r="A21" s="206" t="s">
        <v>143</v>
      </c>
      <c r="B21" s="206" t="str">
        <f>A15</f>
        <v>Приобретение оборудования для намотки кабеля на барабан УПК-25-РЧ-003 (Перемоточное устройство с электроприв.и РКУ)</v>
      </c>
    </row>
    <row r="22" spans="1:2" s="50" customFormat="1" x14ac:dyDescent="0.25">
      <c r="A22" s="206" t="s">
        <v>144</v>
      </c>
      <c r="B22" s="207" t="str">
        <f>'1. паспорт местоположение'!C27</f>
        <v>г. Грозный</v>
      </c>
    </row>
    <row r="23" spans="1:2" s="50" customFormat="1" x14ac:dyDescent="0.25">
      <c r="A23" s="206" t="s">
        <v>140</v>
      </c>
      <c r="B23" s="207" t="str">
        <f>'1. паспорт местоположение'!C22</f>
        <v>Прочие инвестиционные проекты</v>
      </c>
    </row>
    <row r="24" spans="1:2" s="50" customFormat="1" x14ac:dyDescent="0.25">
      <c r="A24" s="206" t="s">
        <v>145</v>
      </c>
      <c r="B24" s="208">
        <v>0</v>
      </c>
    </row>
    <row r="25" spans="1:2" s="50" customFormat="1" x14ac:dyDescent="0.25">
      <c r="A25" s="209" t="s">
        <v>146</v>
      </c>
      <c r="B25" s="222">
        <f>VLOOKUP($A$12,'[1]6.2. отчет'!$D:$OM,400,0)</f>
        <v>2024</v>
      </c>
    </row>
    <row r="26" spans="1:2" s="50" customFormat="1" x14ac:dyDescent="0.25">
      <c r="A26" s="209" t="s">
        <v>147</v>
      </c>
      <c r="B26" s="184" t="str">
        <f>'3.3 паспорт описание'!C30</f>
        <v>з</v>
      </c>
    </row>
    <row r="27" spans="1:2" s="50" customFormat="1" ht="18" customHeight="1" x14ac:dyDescent="0.25">
      <c r="A27" s="210" t="s">
        <v>451</v>
      </c>
      <c r="B27" s="184">
        <f>'6.2. Паспорт фин осв ввод'!D30*1.2</f>
        <v>0.43095765599999997</v>
      </c>
    </row>
    <row r="28" spans="1:2" s="50" customFormat="1" ht="19.149999999999999" customHeight="1" x14ac:dyDescent="0.25">
      <c r="A28" s="183" t="s">
        <v>148</v>
      </c>
      <c r="B28" s="211" t="str">
        <f>'7. Паспорт отчет о закупке'!Q26</f>
        <v>КП</v>
      </c>
    </row>
    <row r="29" spans="1:2" s="50" customFormat="1" ht="21" customHeight="1" x14ac:dyDescent="0.25">
      <c r="A29" s="206" t="s">
        <v>149</v>
      </c>
      <c r="B29" s="184">
        <f>B30</f>
        <v>0.43095766000000002</v>
      </c>
    </row>
    <row r="30" spans="1:2" s="50" customFormat="1" ht="28.5" x14ac:dyDescent="0.25">
      <c r="A30" s="206" t="s">
        <v>150</v>
      </c>
      <c r="B30" s="184">
        <f>B41</f>
        <v>0.43095766000000002</v>
      </c>
    </row>
    <row r="31" spans="1:2" s="50" customFormat="1" x14ac:dyDescent="0.25">
      <c r="A31" s="183" t="s">
        <v>151</v>
      </c>
      <c r="B31" s="183"/>
    </row>
    <row r="32" spans="1:2" s="50" customFormat="1" ht="28.5" x14ac:dyDescent="0.25">
      <c r="A32" s="206" t="s">
        <v>152</v>
      </c>
      <c r="B32" s="183" t="s">
        <v>402</v>
      </c>
    </row>
    <row r="33" spans="1:2" s="50" customFormat="1" x14ac:dyDescent="0.25">
      <c r="A33" s="183" t="s">
        <v>153</v>
      </c>
      <c r="B33" s="183" t="s">
        <v>402</v>
      </c>
    </row>
    <row r="34" spans="1:2" s="50" customFormat="1" x14ac:dyDescent="0.25">
      <c r="A34" s="183" t="s">
        <v>154</v>
      </c>
      <c r="B34" s="183" t="s">
        <v>402</v>
      </c>
    </row>
    <row r="35" spans="1:2" s="50" customFormat="1" x14ac:dyDescent="0.25">
      <c r="A35" s="183" t="s">
        <v>155</v>
      </c>
      <c r="B35" s="183" t="s">
        <v>402</v>
      </c>
    </row>
    <row r="36" spans="1:2" s="50" customFormat="1" x14ac:dyDescent="0.25">
      <c r="A36" s="183" t="s">
        <v>156</v>
      </c>
      <c r="B36" s="183" t="s">
        <v>402</v>
      </c>
    </row>
    <row r="37" spans="1:2" s="50" customFormat="1" ht="28.5" x14ac:dyDescent="0.25">
      <c r="A37" s="206" t="s">
        <v>157</v>
      </c>
      <c r="B37" s="206" t="s">
        <v>478</v>
      </c>
    </row>
    <row r="38" spans="1:2" s="50" customFormat="1" x14ac:dyDescent="0.25">
      <c r="A38" s="183" t="s">
        <v>467</v>
      </c>
      <c r="B38" s="212">
        <v>0.43095766000000002</v>
      </c>
    </row>
    <row r="39" spans="1:2" s="50" customFormat="1" x14ac:dyDescent="0.25">
      <c r="A39" s="183" t="s">
        <v>154</v>
      </c>
      <c r="B39" s="213">
        <f>B41/B27</f>
        <v>1.0000000092816546</v>
      </c>
    </row>
    <row r="40" spans="1:2" s="50" customFormat="1" x14ac:dyDescent="0.25">
      <c r="A40" s="183" t="s">
        <v>155</v>
      </c>
      <c r="B40" s="184">
        <v>0.43095766000000002</v>
      </c>
    </row>
    <row r="41" spans="1:2" s="50" customFormat="1" x14ac:dyDescent="0.25">
      <c r="A41" s="183" t="s">
        <v>156</v>
      </c>
      <c r="B41" s="184">
        <v>0.43095766000000002</v>
      </c>
    </row>
    <row r="42" spans="1:2" s="50" customFormat="1" ht="28.5" x14ac:dyDescent="0.25">
      <c r="A42" s="206" t="s">
        <v>158</v>
      </c>
      <c r="B42" s="183" t="s">
        <v>402</v>
      </c>
    </row>
    <row r="43" spans="1:2" s="50" customFormat="1" x14ac:dyDescent="0.25">
      <c r="A43" s="183" t="s">
        <v>153</v>
      </c>
      <c r="B43" s="183" t="s">
        <v>402</v>
      </c>
    </row>
    <row r="44" spans="1:2" s="50" customFormat="1" x14ac:dyDescent="0.25">
      <c r="A44" s="183" t="s">
        <v>154</v>
      </c>
      <c r="B44" s="183" t="s">
        <v>402</v>
      </c>
    </row>
    <row r="45" spans="1:2" s="50" customFormat="1" x14ac:dyDescent="0.25">
      <c r="A45" s="183" t="s">
        <v>155</v>
      </c>
      <c r="B45" s="183" t="s">
        <v>402</v>
      </c>
    </row>
    <row r="46" spans="1:2" s="50" customFormat="1" x14ac:dyDescent="0.25">
      <c r="A46" s="183" t="s">
        <v>156</v>
      </c>
      <c r="B46" s="183" t="s">
        <v>402</v>
      </c>
    </row>
    <row r="47" spans="1:2" s="50" customFormat="1" ht="28.5" x14ac:dyDescent="0.25">
      <c r="A47" s="209" t="s">
        <v>159</v>
      </c>
      <c r="B47" s="214">
        <f>SUM(B49:B51)</f>
        <v>1.0000000092816546</v>
      </c>
    </row>
    <row r="48" spans="1:2" s="50" customFormat="1" x14ac:dyDescent="0.25">
      <c r="A48" s="215" t="s">
        <v>151</v>
      </c>
      <c r="B48" s="183" t="s">
        <v>402</v>
      </c>
    </row>
    <row r="49" spans="1:4" s="50" customFormat="1" x14ac:dyDescent="0.25">
      <c r="A49" s="215" t="s">
        <v>160</v>
      </c>
      <c r="B49" s="183" t="s">
        <v>402</v>
      </c>
    </row>
    <row r="50" spans="1:4" s="50" customFormat="1" x14ac:dyDescent="0.25">
      <c r="A50" s="215" t="s">
        <v>161</v>
      </c>
      <c r="B50" s="216">
        <f>B39</f>
        <v>1.0000000092816546</v>
      </c>
    </row>
    <row r="51" spans="1:4" s="50" customFormat="1" x14ac:dyDescent="0.25">
      <c r="A51" s="215" t="s">
        <v>162</v>
      </c>
      <c r="B51" s="183" t="s">
        <v>402</v>
      </c>
    </row>
    <row r="52" spans="1:4" s="50" customFormat="1" x14ac:dyDescent="0.25">
      <c r="A52" s="209" t="s">
        <v>163</v>
      </c>
      <c r="B52" s="217">
        <f>B53/$B$27</f>
        <v>1.0000000092816546</v>
      </c>
    </row>
    <row r="53" spans="1:4" s="50" customFormat="1" x14ac:dyDescent="0.25">
      <c r="A53" s="209" t="s">
        <v>164</v>
      </c>
      <c r="B53" s="218">
        <f>'6.2. Паспорт фин осв ввод'!$D$24</f>
        <v>0.43095766000000002</v>
      </c>
      <c r="C53" s="188">
        <f>B40</f>
        <v>0.43095766000000002</v>
      </c>
      <c r="D53" s="205">
        <f>B53-C53</f>
        <v>0</v>
      </c>
    </row>
    <row r="54" spans="1:4" s="50" customFormat="1" x14ac:dyDescent="0.25">
      <c r="A54" s="209" t="s">
        <v>165</v>
      </c>
      <c r="B54" s="217">
        <f>B55/(B27/1.2)</f>
        <v>1</v>
      </c>
    </row>
    <row r="55" spans="1:4" s="50" customFormat="1" x14ac:dyDescent="0.25">
      <c r="A55" s="209" t="s">
        <v>166</v>
      </c>
      <c r="B55" s="218">
        <f>'6.2. Паспорт фин осв ввод'!$D$30</f>
        <v>0.35913138</v>
      </c>
      <c r="C55" s="205">
        <f>B41/1.2</f>
        <v>0.35913138333333339</v>
      </c>
      <c r="D55" s="205">
        <f>B55-C55</f>
        <v>-3.3333333870899651E-9</v>
      </c>
    </row>
    <row r="56" spans="1:4" s="50" customFormat="1" ht="15.75" customHeight="1" x14ac:dyDescent="0.25">
      <c r="A56" s="209" t="s">
        <v>167</v>
      </c>
      <c r="B56" s="215"/>
    </row>
    <row r="57" spans="1:4" s="50" customFormat="1" x14ac:dyDescent="0.25">
      <c r="A57" s="215" t="s">
        <v>168</v>
      </c>
      <c r="B57" s="209" t="s">
        <v>251</v>
      </c>
    </row>
    <row r="58" spans="1:4" s="50" customFormat="1" x14ac:dyDescent="0.25">
      <c r="A58" s="215" t="s">
        <v>169</v>
      </c>
      <c r="B58" s="215" t="s">
        <v>314</v>
      </c>
    </row>
    <row r="59" spans="1:4" s="50" customFormat="1" x14ac:dyDescent="0.25">
      <c r="A59" s="215" t="s">
        <v>170</v>
      </c>
      <c r="B59" s="215" t="s">
        <v>402</v>
      </c>
    </row>
    <row r="60" spans="1:4" s="50" customFormat="1" x14ac:dyDescent="0.25">
      <c r="A60" s="215" t="s">
        <v>171</v>
      </c>
      <c r="B60" s="215" t="s">
        <v>402</v>
      </c>
    </row>
    <row r="61" spans="1:4" s="50" customFormat="1" x14ac:dyDescent="0.25">
      <c r="A61" s="215" t="s">
        <v>172</v>
      </c>
      <c r="B61" s="209" t="s">
        <v>487</v>
      </c>
    </row>
    <row r="62" spans="1:4" s="50" customFormat="1" ht="30" x14ac:dyDescent="0.25">
      <c r="A62" s="215" t="s">
        <v>173</v>
      </c>
      <c r="B62" s="215" t="s">
        <v>402</v>
      </c>
    </row>
    <row r="63" spans="1:4" s="50" customFormat="1" ht="28.5" x14ac:dyDescent="0.25">
      <c r="A63" s="209" t="s">
        <v>174</v>
      </c>
      <c r="B63" s="215" t="s">
        <v>402</v>
      </c>
    </row>
    <row r="64" spans="1:4" s="50" customFormat="1" x14ac:dyDescent="0.25">
      <c r="A64" s="215" t="s">
        <v>151</v>
      </c>
      <c r="B64" s="215" t="s">
        <v>402</v>
      </c>
    </row>
    <row r="65" spans="1:2" s="50" customFormat="1" x14ac:dyDescent="0.25">
      <c r="A65" s="215" t="s">
        <v>175</v>
      </c>
      <c r="B65" s="215" t="s">
        <v>402</v>
      </c>
    </row>
    <row r="66" spans="1:2" s="50" customFormat="1" x14ac:dyDescent="0.25">
      <c r="A66" s="215" t="s">
        <v>176</v>
      </c>
      <c r="B66" s="215" t="s">
        <v>402</v>
      </c>
    </row>
    <row r="67" spans="1:2" s="50" customFormat="1" x14ac:dyDescent="0.25">
      <c r="A67" s="219" t="s">
        <v>177</v>
      </c>
      <c r="B67" s="215" t="s">
        <v>402</v>
      </c>
    </row>
    <row r="68" spans="1:2" s="50" customFormat="1" x14ac:dyDescent="0.25">
      <c r="A68" s="209" t="s">
        <v>178</v>
      </c>
      <c r="B68" s="215" t="s">
        <v>402</v>
      </c>
    </row>
    <row r="69" spans="1:2" s="50" customFormat="1" x14ac:dyDescent="0.25">
      <c r="A69" s="215" t="s">
        <v>179</v>
      </c>
      <c r="B69" s="220">
        <f>'7. Паспорт отчет о закупке'!AT26</f>
        <v>45240</v>
      </c>
    </row>
    <row r="70" spans="1:2" s="50" customFormat="1" x14ac:dyDescent="0.25">
      <c r="A70" s="215" t="s">
        <v>180</v>
      </c>
      <c r="B70" s="215" t="s">
        <v>402</v>
      </c>
    </row>
    <row r="71" spans="1:2" s="50" customFormat="1" x14ac:dyDescent="0.25">
      <c r="A71" s="215" t="s">
        <v>181</v>
      </c>
      <c r="B71" s="215" t="s">
        <v>402</v>
      </c>
    </row>
    <row r="72" spans="1:2" s="50" customFormat="1" ht="33" customHeight="1" x14ac:dyDescent="0.25">
      <c r="A72" s="219" t="s">
        <v>182</v>
      </c>
      <c r="B72" s="215"/>
    </row>
    <row r="73" spans="1:2" s="50" customFormat="1" ht="28.5" x14ac:dyDescent="0.25">
      <c r="A73" s="209" t="s">
        <v>183</v>
      </c>
      <c r="B73" s="215" t="s">
        <v>402</v>
      </c>
    </row>
    <row r="74" spans="1:2" s="50" customFormat="1" x14ac:dyDescent="0.25">
      <c r="A74" s="215" t="s">
        <v>184</v>
      </c>
      <c r="B74" s="215" t="s">
        <v>402</v>
      </c>
    </row>
    <row r="75" spans="1:2" s="50" customFormat="1" x14ac:dyDescent="0.25">
      <c r="A75" s="215" t="s">
        <v>185</v>
      </c>
      <c r="B75" s="215" t="s">
        <v>402</v>
      </c>
    </row>
    <row r="76" spans="1:2" s="50" customFormat="1" x14ac:dyDescent="0.25">
      <c r="A76" s="215" t="s">
        <v>186</v>
      </c>
      <c r="B76" s="215" t="s">
        <v>402</v>
      </c>
    </row>
    <row r="77" spans="1:2" s="50" customFormat="1" x14ac:dyDescent="0.25">
      <c r="A77" s="215" t="s">
        <v>187</v>
      </c>
      <c r="B77" s="215" t="s">
        <v>402</v>
      </c>
    </row>
    <row r="78" spans="1:2" s="50" customFormat="1" x14ac:dyDescent="0.25">
      <c r="A78" s="215" t="s">
        <v>188</v>
      </c>
      <c r="B78" s="215" t="s">
        <v>402</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26" t="str">
        <f>'1. паспорт местоположение'!$A$5</f>
        <v>Год раскрытия информации: 2025 год</v>
      </c>
      <c r="B4" s="226"/>
      <c r="C4" s="226"/>
      <c r="D4" s="226"/>
      <c r="E4" s="226"/>
      <c r="F4" s="226"/>
      <c r="G4" s="226"/>
      <c r="H4" s="226"/>
      <c r="I4" s="226"/>
      <c r="J4" s="226"/>
      <c r="K4" s="226"/>
      <c r="L4" s="226"/>
      <c r="M4" s="226"/>
      <c r="N4" s="226"/>
      <c r="O4" s="226"/>
      <c r="P4" s="226"/>
      <c r="Q4" s="226"/>
      <c r="R4" s="226"/>
      <c r="S4" s="226"/>
    </row>
    <row r="5" spans="1:28" s="31" customFormat="1" ht="15.75" x14ac:dyDescent="0.2">
      <c r="A5" s="34"/>
    </row>
    <row r="6" spans="1:28" s="31" customFormat="1" ht="18.75" x14ac:dyDescent="0.2">
      <c r="A6" s="235" t="s">
        <v>5</v>
      </c>
      <c r="B6" s="235"/>
      <c r="C6" s="235"/>
      <c r="D6" s="235"/>
      <c r="E6" s="235"/>
      <c r="F6" s="235"/>
      <c r="G6" s="235"/>
      <c r="H6" s="235"/>
      <c r="I6" s="235"/>
      <c r="J6" s="235"/>
      <c r="K6" s="235"/>
      <c r="L6" s="235"/>
      <c r="M6" s="235"/>
      <c r="N6" s="235"/>
      <c r="O6" s="235"/>
      <c r="P6" s="235"/>
      <c r="Q6" s="235"/>
      <c r="R6" s="235"/>
      <c r="S6" s="235"/>
      <c r="T6" s="83"/>
      <c r="U6" s="83"/>
      <c r="V6" s="83"/>
      <c r="W6" s="83"/>
      <c r="X6" s="83"/>
      <c r="Y6" s="83"/>
      <c r="Z6" s="83"/>
      <c r="AA6" s="83"/>
      <c r="AB6" s="83"/>
    </row>
    <row r="7" spans="1:28" s="31" customFormat="1" ht="18.75" x14ac:dyDescent="0.2">
      <c r="A7" s="235"/>
      <c r="B7" s="235"/>
      <c r="C7" s="235"/>
      <c r="D7" s="235"/>
      <c r="E7" s="235"/>
      <c r="F7" s="235"/>
      <c r="G7" s="235"/>
      <c r="H7" s="235"/>
      <c r="I7" s="235"/>
      <c r="J7" s="235"/>
      <c r="K7" s="235"/>
      <c r="L7" s="235"/>
      <c r="M7" s="235"/>
      <c r="N7" s="235"/>
      <c r="O7" s="235"/>
      <c r="P7" s="235"/>
      <c r="Q7" s="235"/>
      <c r="R7" s="235"/>
      <c r="S7" s="235"/>
      <c r="T7" s="83"/>
      <c r="U7" s="83"/>
      <c r="V7" s="83"/>
      <c r="W7" s="83"/>
      <c r="X7" s="83"/>
      <c r="Y7" s="83"/>
      <c r="Z7" s="83"/>
      <c r="AA7" s="83"/>
      <c r="AB7" s="83"/>
    </row>
    <row r="8" spans="1:28" s="31" customFormat="1" ht="18.75" x14ac:dyDescent="0.2">
      <c r="A8" s="236" t="s">
        <v>251</v>
      </c>
      <c r="B8" s="236"/>
      <c r="C8" s="236"/>
      <c r="D8" s="236"/>
      <c r="E8" s="236"/>
      <c r="F8" s="236"/>
      <c r="G8" s="236"/>
      <c r="H8" s="236"/>
      <c r="I8" s="236"/>
      <c r="J8" s="236"/>
      <c r="K8" s="236"/>
      <c r="L8" s="236"/>
      <c r="M8" s="236"/>
      <c r="N8" s="236"/>
      <c r="O8" s="236"/>
      <c r="P8" s="236"/>
      <c r="Q8" s="236"/>
      <c r="R8" s="236"/>
      <c r="S8" s="236"/>
      <c r="T8" s="83"/>
      <c r="U8" s="83"/>
      <c r="V8" s="83"/>
      <c r="W8" s="83"/>
      <c r="X8" s="83"/>
      <c r="Y8" s="83"/>
      <c r="Z8" s="83"/>
      <c r="AA8" s="83"/>
      <c r="AB8" s="83"/>
    </row>
    <row r="9" spans="1:28" s="31" customFormat="1" ht="18.75" x14ac:dyDescent="0.2">
      <c r="A9" s="239" t="s">
        <v>4</v>
      </c>
      <c r="B9" s="239"/>
      <c r="C9" s="239"/>
      <c r="D9" s="239"/>
      <c r="E9" s="239"/>
      <c r="F9" s="239"/>
      <c r="G9" s="239"/>
      <c r="H9" s="239"/>
      <c r="I9" s="239"/>
      <c r="J9" s="239"/>
      <c r="K9" s="239"/>
      <c r="L9" s="239"/>
      <c r="M9" s="239"/>
      <c r="N9" s="239"/>
      <c r="O9" s="239"/>
      <c r="P9" s="239"/>
      <c r="Q9" s="239"/>
      <c r="R9" s="239"/>
      <c r="S9" s="239"/>
      <c r="T9" s="83"/>
      <c r="U9" s="83"/>
      <c r="V9" s="83"/>
      <c r="W9" s="83"/>
      <c r="X9" s="83"/>
      <c r="Y9" s="83"/>
      <c r="Z9" s="83"/>
      <c r="AA9" s="83"/>
      <c r="AB9" s="83"/>
    </row>
    <row r="10" spans="1:28" s="31" customFormat="1" ht="18.75" x14ac:dyDescent="0.2">
      <c r="A10" s="235"/>
      <c r="B10" s="235"/>
      <c r="C10" s="235"/>
      <c r="D10" s="235"/>
      <c r="E10" s="235"/>
      <c r="F10" s="235"/>
      <c r="G10" s="235"/>
      <c r="H10" s="235"/>
      <c r="I10" s="235"/>
      <c r="J10" s="235"/>
      <c r="K10" s="235"/>
      <c r="L10" s="235"/>
      <c r="M10" s="235"/>
      <c r="N10" s="235"/>
      <c r="O10" s="235"/>
      <c r="P10" s="235"/>
      <c r="Q10" s="235"/>
      <c r="R10" s="235"/>
      <c r="S10" s="235"/>
      <c r="T10" s="83"/>
      <c r="U10" s="83"/>
      <c r="V10" s="83"/>
      <c r="W10" s="83"/>
      <c r="X10" s="83"/>
      <c r="Y10" s="83"/>
      <c r="Z10" s="83"/>
      <c r="AA10" s="83"/>
      <c r="AB10" s="83"/>
    </row>
    <row r="11" spans="1:28" s="31" customFormat="1" ht="18.75" x14ac:dyDescent="0.2">
      <c r="A11" s="236" t="str">
        <f>'1. паспорт местоположение'!A12:C12</f>
        <v>O_Che477_24</v>
      </c>
      <c r="B11" s="236"/>
      <c r="C11" s="236"/>
      <c r="D11" s="236"/>
      <c r="E11" s="236"/>
      <c r="F11" s="236"/>
      <c r="G11" s="236"/>
      <c r="H11" s="236"/>
      <c r="I11" s="236"/>
      <c r="J11" s="236"/>
      <c r="K11" s="236"/>
      <c r="L11" s="236"/>
      <c r="M11" s="236"/>
      <c r="N11" s="236"/>
      <c r="O11" s="236"/>
      <c r="P11" s="236"/>
      <c r="Q11" s="236"/>
      <c r="R11" s="236"/>
      <c r="S11" s="236"/>
      <c r="T11" s="83"/>
      <c r="U11" s="83"/>
      <c r="V11" s="83"/>
      <c r="W11" s="83"/>
      <c r="X11" s="83"/>
      <c r="Y11" s="83"/>
      <c r="Z11" s="83"/>
      <c r="AA11" s="83"/>
      <c r="AB11" s="83"/>
    </row>
    <row r="12" spans="1:28" s="31" customFormat="1" ht="18.75" x14ac:dyDescent="0.2">
      <c r="A12" s="239" t="s">
        <v>3</v>
      </c>
      <c r="B12" s="239"/>
      <c r="C12" s="239"/>
      <c r="D12" s="239"/>
      <c r="E12" s="239"/>
      <c r="F12" s="239"/>
      <c r="G12" s="239"/>
      <c r="H12" s="239"/>
      <c r="I12" s="239"/>
      <c r="J12" s="239"/>
      <c r="K12" s="239"/>
      <c r="L12" s="239"/>
      <c r="M12" s="239"/>
      <c r="N12" s="239"/>
      <c r="O12" s="239"/>
      <c r="P12" s="239"/>
      <c r="Q12" s="239"/>
      <c r="R12" s="239"/>
      <c r="S12" s="239"/>
      <c r="T12" s="83"/>
      <c r="U12" s="83"/>
      <c r="V12" s="83"/>
      <c r="W12" s="83"/>
      <c r="X12" s="83"/>
      <c r="Y12" s="83"/>
      <c r="Z12" s="83"/>
      <c r="AA12" s="83"/>
      <c r="AB12" s="83"/>
    </row>
    <row r="13" spans="1:28" s="84"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37"/>
      <c r="U13" s="37"/>
      <c r="V13" s="37"/>
      <c r="W13" s="37"/>
      <c r="X13" s="37"/>
      <c r="Y13" s="37"/>
      <c r="Z13" s="37"/>
      <c r="AA13" s="37"/>
      <c r="AB13" s="37"/>
    </row>
    <row r="14" spans="1:28" s="86" customFormat="1" ht="20.25" x14ac:dyDescent="0.2">
      <c r="A14" s="238" t="str">
        <f>'1. паспорт местоположение'!A15:C15</f>
        <v>Приобретение оборудования для намотки кабеля на барабан УПК-25-РЧ-003 (Перемоточное устройство с электроприв.и РКУ)</v>
      </c>
      <c r="B14" s="238"/>
      <c r="C14" s="238"/>
      <c r="D14" s="238"/>
      <c r="E14" s="238"/>
      <c r="F14" s="238"/>
      <c r="G14" s="238"/>
      <c r="H14" s="238"/>
      <c r="I14" s="238"/>
      <c r="J14" s="238"/>
      <c r="K14" s="238"/>
      <c r="L14" s="238"/>
      <c r="M14" s="238"/>
      <c r="N14" s="238"/>
      <c r="O14" s="238"/>
      <c r="P14" s="238"/>
      <c r="Q14" s="238"/>
      <c r="R14" s="238"/>
      <c r="S14" s="238"/>
      <c r="T14" s="85"/>
      <c r="U14" s="85"/>
      <c r="V14" s="85"/>
      <c r="W14" s="85"/>
      <c r="X14" s="85"/>
      <c r="Y14" s="85"/>
      <c r="Z14" s="85"/>
      <c r="AA14" s="85"/>
      <c r="AB14" s="85"/>
    </row>
    <row r="15" spans="1:28" s="86" customFormat="1" ht="15" customHeight="1" x14ac:dyDescent="0.2">
      <c r="A15" s="239" t="s">
        <v>2</v>
      </c>
      <c r="B15" s="239"/>
      <c r="C15" s="239"/>
      <c r="D15" s="239"/>
      <c r="E15" s="239"/>
      <c r="F15" s="239"/>
      <c r="G15" s="239"/>
      <c r="H15" s="239"/>
      <c r="I15" s="239"/>
      <c r="J15" s="239"/>
      <c r="K15" s="239"/>
      <c r="L15" s="239"/>
      <c r="M15" s="239"/>
      <c r="N15" s="239"/>
      <c r="O15" s="239"/>
      <c r="P15" s="239"/>
      <c r="Q15" s="239"/>
      <c r="R15" s="239"/>
      <c r="S15" s="239"/>
      <c r="T15" s="87"/>
      <c r="U15" s="87"/>
      <c r="V15" s="87"/>
      <c r="W15" s="87"/>
      <c r="X15" s="87"/>
      <c r="Y15" s="87"/>
      <c r="Z15" s="87"/>
      <c r="AA15" s="87"/>
      <c r="AB15" s="87"/>
    </row>
    <row r="16" spans="1:28" s="86"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38"/>
      <c r="U16" s="38"/>
      <c r="V16" s="38"/>
      <c r="W16" s="38"/>
      <c r="X16" s="38"/>
      <c r="Y16" s="38"/>
    </row>
    <row r="17" spans="1:28" s="86" customFormat="1" ht="45.75" customHeight="1" x14ac:dyDescent="0.2">
      <c r="A17" s="242" t="s">
        <v>294</v>
      </c>
      <c r="B17" s="242"/>
      <c r="C17" s="242"/>
      <c r="D17" s="242"/>
      <c r="E17" s="242"/>
      <c r="F17" s="242"/>
      <c r="G17" s="242"/>
      <c r="H17" s="242"/>
      <c r="I17" s="242"/>
      <c r="J17" s="242"/>
      <c r="K17" s="242"/>
      <c r="L17" s="242"/>
      <c r="M17" s="242"/>
      <c r="N17" s="242"/>
      <c r="O17" s="242"/>
      <c r="P17" s="242"/>
      <c r="Q17" s="242"/>
      <c r="R17" s="242"/>
      <c r="S17" s="242"/>
      <c r="T17" s="88"/>
      <c r="U17" s="88"/>
      <c r="V17" s="88"/>
      <c r="W17" s="88"/>
      <c r="X17" s="88"/>
      <c r="Y17" s="88"/>
      <c r="Z17" s="88"/>
      <c r="AA17" s="88"/>
      <c r="AB17" s="88"/>
    </row>
    <row r="18" spans="1:28" s="86"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38"/>
      <c r="U18" s="38"/>
      <c r="V18" s="38"/>
      <c r="W18" s="38"/>
      <c r="X18" s="38"/>
      <c r="Y18" s="38"/>
    </row>
    <row r="19" spans="1:28" s="86" customFormat="1" ht="54" customHeight="1" x14ac:dyDescent="0.2">
      <c r="A19" s="234" t="s">
        <v>1</v>
      </c>
      <c r="B19" s="234" t="s">
        <v>295</v>
      </c>
      <c r="C19" s="244" t="s">
        <v>296</v>
      </c>
      <c r="D19" s="234" t="s">
        <v>297</v>
      </c>
      <c r="E19" s="234" t="s">
        <v>298</v>
      </c>
      <c r="F19" s="234" t="s">
        <v>299</v>
      </c>
      <c r="G19" s="234" t="s">
        <v>300</v>
      </c>
      <c r="H19" s="234" t="s">
        <v>301</v>
      </c>
      <c r="I19" s="234" t="s">
        <v>302</v>
      </c>
      <c r="J19" s="234" t="s">
        <v>303</v>
      </c>
      <c r="K19" s="234" t="s">
        <v>304</v>
      </c>
      <c r="L19" s="234" t="s">
        <v>305</v>
      </c>
      <c r="M19" s="234" t="s">
        <v>306</v>
      </c>
      <c r="N19" s="234" t="s">
        <v>307</v>
      </c>
      <c r="O19" s="234" t="s">
        <v>308</v>
      </c>
      <c r="P19" s="234" t="s">
        <v>309</v>
      </c>
      <c r="Q19" s="234" t="s">
        <v>310</v>
      </c>
      <c r="R19" s="234"/>
      <c r="S19" s="241" t="s">
        <v>311</v>
      </c>
      <c r="T19" s="38"/>
      <c r="U19" s="38"/>
      <c r="V19" s="38"/>
      <c r="W19" s="38"/>
      <c r="X19" s="38"/>
      <c r="Y19" s="38"/>
    </row>
    <row r="20" spans="1:28" s="86" customFormat="1" ht="180.75" customHeight="1" x14ac:dyDescent="0.2">
      <c r="A20" s="234"/>
      <c r="B20" s="234"/>
      <c r="C20" s="245"/>
      <c r="D20" s="234"/>
      <c r="E20" s="234"/>
      <c r="F20" s="234"/>
      <c r="G20" s="234"/>
      <c r="H20" s="234"/>
      <c r="I20" s="234"/>
      <c r="J20" s="234"/>
      <c r="K20" s="234"/>
      <c r="L20" s="234"/>
      <c r="M20" s="234"/>
      <c r="N20" s="234"/>
      <c r="O20" s="234"/>
      <c r="P20" s="234"/>
      <c r="Q20" s="89" t="s">
        <v>312</v>
      </c>
      <c r="R20" s="41" t="s">
        <v>313</v>
      </c>
      <c r="S20" s="241"/>
      <c r="T20" s="37"/>
      <c r="U20" s="37"/>
      <c r="V20" s="37"/>
      <c r="W20" s="37"/>
      <c r="X20" s="37"/>
      <c r="Y20" s="37"/>
      <c r="Z20" s="92"/>
      <c r="AA20" s="92"/>
      <c r="AB20" s="92"/>
    </row>
    <row r="21" spans="1:28" s="86" customFormat="1" ht="18.75" x14ac:dyDescent="0.2">
      <c r="A21" s="89">
        <v>1</v>
      </c>
      <c r="B21" s="133">
        <v>2</v>
      </c>
      <c r="C21" s="89">
        <v>3</v>
      </c>
      <c r="D21" s="133">
        <v>4</v>
      </c>
      <c r="E21" s="89">
        <v>5</v>
      </c>
      <c r="F21" s="133">
        <v>6</v>
      </c>
      <c r="G21" s="89">
        <v>7</v>
      </c>
      <c r="H21" s="133">
        <v>8</v>
      </c>
      <c r="I21" s="89">
        <v>9</v>
      </c>
      <c r="J21" s="133">
        <v>10</v>
      </c>
      <c r="K21" s="89">
        <v>11</v>
      </c>
      <c r="L21" s="133">
        <v>12</v>
      </c>
      <c r="M21" s="89">
        <v>13</v>
      </c>
      <c r="N21" s="133">
        <v>14</v>
      </c>
      <c r="O21" s="89">
        <v>15</v>
      </c>
      <c r="P21" s="133">
        <v>16</v>
      </c>
      <c r="Q21" s="89">
        <v>17</v>
      </c>
      <c r="R21" s="133">
        <v>18</v>
      </c>
      <c r="S21" s="89">
        <v>19</v>
      </c>
      <c r="T21" s="37"/>
      <c r="U21" s="37"/>
      <c r="V21" s="37"/>
      <c r="W21" s="37"/>
      <c r="X21" s="37"/>
      <c r="Y21" s="37"/>
      <c r="Z21" s="92"/>
      <c r="AA21" s="92"/>
      <c r="AB21" s="92"/>
    </row>
    <row r="22" spans="1:28" s="152" customFormat="1" ht="15.75" x14ac:dyDescent="0.25">
      <c r="A22" s="145">
        <v>1</v>
      </c>
      <c r="B22" s="144" t="s">
        <v>314</v>
      </c>
      <c r="C22" s="144" t="s">
        <v>314</v>
      </c>
      <c r="D22" s="144" t="s">
        <v>314</v>
      </c>
      <c r="E22" s="113" t="s">
        <v>314</v>
      </c>
      <c r="F22" s="144" t="s">
        <v>314</v>
      </c>
      <c r="G22" s="144" t="s">
        <v>314</v>
      </c>
      <c r="H22" s="144" t="s">
        <v>314</v>
      </c>
      <c r="I22" s="148" t="s">
        <v>314</v>
      </c>
      <c r="J22" s="144" t="s">
        <v>314</v>
      </c>
      <c r="K22" s="113" t="s">
        <v>314</v>
      </c>
      <c r="L22" s="113" t="s">
        <v>314</v>
      </c>
      <c r="M22" s="144" t="s">
        <v>314</v>
      </c>
      <c r="N22" s="144" t="s">
        <v>314</v>
      </c>
      <c r="O22" s="144" t="s">
        <v>314</v>
      </c>
      <c r="P22" s="144" t="s">
        <v>314</v>
      </c>
      <c r="Q22" s="113" t="s">
        <v>314</v>
      </c>
      <c r="R22" s="144" t="s">
        <v>314</v>
      </c>
      <c r="S22" s="149" t="s">
        <v>314</v>
      </c>
      <c r="T22" s="150"/>
      <c r="U22" s="150"/>
      <c r="V22" s="150"/>
      <c r="W22" s="150"/>
      <c r="X22" s="150"/>
      <c r="Y22" s="150"/>
      <c r="Z22" s="151"/>
      <c r="AA22" s="151"/>
      <c r="AB22" s="151"/>
    </row>
    <row r="23" spans="1:28" s="137" customFormat="1" ht="18.75" x14ac:dyDescent="0.2">
      <c r="A23" s="4" t="s">
        <v>373</v>
      </c>
      <c r="B23" s="4" t="s">
        <v>373</v>
      </c>
      <c r="C23" s="4"/>
      <c r="D23" s="4"/>
      <c r="E23" s="4" t="s">
        <v>373</v>
      </c>
      <c r="F23" s="4" t="s">
        <v>373</v>
      </c>
      <c r="G23" s="4" t="s">
        <v>373</v>
      </c>
      <c r="H23" s="4" t="s">
        <v>373</v>
      </c>
      <c r="I23" s="4"/>
      <c r="J23" s="4"/>
      <c r="K23" s="4"/>
      <c r="L23" s="4"/>
      <c r="M23" s="4" t="s">
        <v>373</v>
      </c>
      <c r="N23" s="4" t="s">
        <v>373</v>
      </c>
      <c r="O23" s="4" t="s">
        <v>373</v>
      </c>
      <c r="P23" s="4" t="s">
        <v>373</v>
      </c>
      <c r="Q23" s="4" t="s">
        <v>373</v>
      </c>
      <c r="R23" s="138"/>
      <c r="S23" s="138"/>
      <c r="T23" s="135"/>
      <c r="U23" s="135"/>
      <c r="V23" s="135"/>
      <c r="W23" s="135"/>
      <c r="X23" s="136"/>
      <c r="Y23" s="136"/>
      <c r="Z23" s="136"/>
      <c r="AA23" s="136"/>
      <c r="AB23" s="136"/>
    </row>
    <row r="24" spans="1:28" ht="20.25" customHeight="1" x14ac:dyDescent="0.25">
      <c r="A24" s="139"/>
      <c r="B24" s="134" t="s">
        <v>449</v>
      </c>
      <c r="C24" s="134"/>
      <c r="D24" s="134"/>
      <c r="E24" s="139" t="s">
        <v>450</v>
      </c>
      <c r="F24" s="139" t="s">
        <v>450</v>
      </c>
      <c r="G24" s="139" t="s">
        <v>450</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26" t="str">
        <f>'1. паспорт местоположение'!$A$5</f>
        <v>Год раскрытия информации: 2025 год</v>
      </c>
      <c r="B6" s="226"/>
      <c r="C6" s="226"/>
      <c r="D6" s="226"/>
      <c r="E6" s="226"/>
      <c r="F6" s="226"/>
      <c r="G6" s="226"/>
      <c r="H6" s="226"/>
      <c r="I6" s="226"/>
      <c r="J6" s="226"/>
      <c r="K6" s="226"/>
      <c r="L6" s="226"/>
      <c r="M6" s="226"/>
      <c r="N6" s="226"/>
      <c r="O6" s="226"/>
      <c r="P6" s="226"/>
      <c r="Q6" s="226"/>
      <c r="R6" s="226"/>
      <c r="S6" s="226"/>
      <c r="T6" s="226"/>
    </row>
    <row r="7" spans="1:20" s="2" customFormat="1" x14ac:dyDescent="0.2">
      <c r="A7" s="106"/>
    </row>
    <row r="8" spans="1:20" s="2" customFormat="1" x14ac:dyDescent="0.2">
      <c r="A8" s="246" t="s">
        <v>5</v>
      </c>
      <c r="B8" s="246"/>
      <c r="C8" s="246"/>
      <c r="D8" s="246"/>
      <c r="E8" s="246"/>
      <c r="F8" s="246"/>
      <c r="G8" s="246"/>
      <c r="H8" s="246"/>
      <c r="I8" s="246"/>
      <c r="J8" s="246"/>
      <c r="K8" s="246"/>
      <c r="L8" s="246"/>
      <c r="M8" s="246"/>
      <c r="N8" s="246"/>
      <c r="O8" s="246"/>
      <c r="P8" s="246"/>
      <c r="Q8" s="246"/>
      <c r="R8" s="246"/>
      <c r="S8" s="246"/>
      <c r="T8" s="246"/>
    </row>
    <row r="9" spans="1:20" s="2" customFormat="1" x14ac:dyDescent="0.2">
      <c r="A9" s="246"/>
      <c r="B9" s="246"/>
      <c r="C9" s="246"/>
      <c r="D9" s="246"/>
      <c r="E9" s="246"/>
      <c r="F9" s="246"/>
      <c r="G9" s="246"/>
      <c r="H9" s="246"/>
      <c r="I9" s="246"/>
      <c r="J9" s="246"/>
      <c r="K9" s="246"/>
      <c r="L9" s="246"/>
      <c r="M9" s="246"/>
      <c r="N9" s="246"/>
      <c r="O9" s="246"/>
      <c r="P9" s="246"/>
      <c r="Q9" s="246"/>
      <c r="R9" s="246"/>
      <c r="S9" s="246"/>
      <c r="T9" s="246"/>
    </row>
    <row r="10" spans="1:20" s="2" customFormat="1" ht="18.75" customHeight="1" x14ac:dyDescent="0.2">
      <c r="A10" s="231" t="s">
        <v>251</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32" t="s">
        <v>4</v>
      </c>
      <c r="B11" s="232"/>
      <c r="C11" s="232"/>
      <c r="D11" s="232"/>
      <c r="E11" s="232"/>
      <c r="F11" s="232"/>
      <c r="G11" s="232"/>
      <c r="H11" s="232"/>
      <c r="I11" s="232"/>
      <c r="J11" s="232"/>
      <c r="K11" s="232"/>
      <c r="L11" s="232"/>
      <c r="M11" s="232"/>
      <c r="N11" s="232"/>
      <c r="O11" s="232"/>
      <c r="P11" s="232"/>
      <c r="Q11" s="232"/>
      <c r="R11" s="232"/>
      <c r="S11" s="232"/>
      <c r="T11" s="232"/>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местоположение'!A12:C12</f>
        <v>O_Che477_24</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32" t="s">
        <v>3</v>
      </c>
      <c r="B14" s="232"/>
      <c r="C14" s="232"/>
      <c r="D14" s="232"/>
      <c r="E14" s="232"/>
      <c r="F14" s="232"/>
      <c r="G14" s="232"/>
      <c r="H14" s="232"/>
      <c r="I14" s="232"/>
      <c r="J14" s="232"/>
      <c r="K14" s="232"/>
      <c r="L14" s="232"/>
      <c r="M14" s="232"/>
      <c r="N14" s="232"/>
      <c r="O14" s="232"/>
      <c r="P14" s="232"/>
      <c r="Q14" s="232"/>
      <c r="R14" s="232"/>
      <c r="S14" s="232"/>
      <c r="T14" s="232"/>
    </row>
    <row r="15" spans="1:20" s="10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109" customFormat="1" x14ac:dyDescent="0.2">
      <c r="A16" s="231" t="str">
        <f>'1. паспорт местоположение'!A15:C15</f>
        <v>Приобретение оборудования для намотки кабеля на барабан УПК-25-РЧ-003 (Перемоточное устройство с электроприв.и РКУ)</v>
      </c>
      <c r="B16" s="231"/>
      <c r="C16" s="231"/>
      <c r="D16" s="231"/>
      <c r="E16" s="231"/>
      <c r="F16" s="231"/>
      <c r="G16" s="231"/>
      <c r="H16" s="231"/>
      <c r="I16" s="231"/>
      <c r="J16" s="231"/>
      <c r="K16" s="231"/>
      <c r="L16" s="231"/>
      <c r="M16" s="231"/>
      <c r="N16" s="231"/>
      <c r="O16" s="231"/>
      <c r="P16" s="231"/>
      <c r="Q16" s="231"/>
      <c r="R16" s="231"/>
      <c r="S16" s="231"/>
      <c r="T16" s="231"/>
    </row>
    <row r="17" spans="1:256" s="109" customFormat="1" ht="15" customHeight="1" x14ac:dyDescent="0.2">
      <c r="A17" s="232" t="s">
        <v>2</v>
      </c>
      <c r="B17" s="232"/>
      <c r="C17" s="232"/>
      <c r="D17" s="232"/>
      <c r="E17" s="232"/>
      <c r="F17" s="232"/>
      <c r="G17" s="232"/>
      <c r="H17" s="232"/>
      <c r="I17" s="232"/>
      <c r="J17" s="232"/>
      <c r="K17" s="232"/>
      <c r="L17" s="232"/>
      <c r="M17" s="232"/>
      <c r="N17" s="232"/>
      <c r="O17" s="232"/>
      <c r="P17" s="232"/>
      <c r="Q17" s="232"/>
      <c r="R17" s="232"/>
      <c r="S17" s="232"/>
      <c r="T17" s="232"/>
    </row>
    <row r="18" spans="1:256" s="109"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256" s="109" customFormat="1" ht="15" customHeight="1" x14ac:dyDescent="0.2">
      <c r="A19" s="250" t="s">
        <v>263</v>
      </c>
      <c r="B19" s="250"/>
      <c r="C19" s="250"/>
      <c r="D19" s="250"/>
      <c r="E19" s="250"/>
      <c r="F19" s="250"/>
      <c r="G19" s="250"/>
      <c r="H19" s="250"/>
      <c r="I19" s="250"/>
      <c r="J19" s="250"/>
      <c r="K19" s="250"/>
      <c r="L19" s="250"/>
      <c r="M19" s="250"/>
      <c r="N19" s="250"/>
      <c r="O19" s="250"/>
      <c r="P19" s="250"/>
      <c r="Q19" s="250"/>
      <c r="R19" s="250"/>
      <c r="S19" s="250"/>
      <c r="T19" s="250"/>
    </row>
    <row r="20" spans="1:256" s="122"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256" ht="46.5" customHeight="1" x14ac:dyDescent="0.25">
      <c r="A21" s="252" t="s">
        <v>1</v>
      </c>
      <c r="B21" s="255" t="s">
        <v>264</v>
      </c>
      <c r="C21" s="256"/>
      <c r="D21" s="259" t="s">
        <v>265</v>
      </c>
      <c r="E21" s="255" t="s">
        <v>266</v>
      </c>
      <c r="F21" s="256"/>
      <c r="G21" s="255" t="s">
        <v>267</v>
      </c>
      <c r="H21" s="256"/>
      <c r="I21" s="255" t="s">
        <v>268</v>
      </c>
      <c r="J21" s="256"/>
      <c r="K21" s="259" t="s">
        <v>269</v>
      </c>
      <c r="L21" s="255" t="s">
        <v>270</v>
      </c>
      <c r="M21" s="256"/>
      <c r="N21" s="255" t="s">
        <v>271</v>
      </c>
      <c r="O21" s="256"/>
      <c r="P21" s="259" t="s">
        <v>272</v>
      </c>
      <c r="Q21" s="262" t="s">
        <v>35</v>
      </c>
      <c r="R21" s="264"/>
      <c r="S21" s="262" t="s">
        <v>34</v>
      </c>
      <c r="T21" s="263"/>
    </row>
    <row r="22" spans="1:256" ht="204.75" customHeight="1" x14ac:dyDescent="0.25">
      <c r="A22" s="253"/>
      <c r="B22" s="257"/>
      <c r="C22" s="258"/>
      <c r="D22" s="260"/>
      <c r="E22" s="257"/>
      <c r="F22" s="258"/>
      <c r="G22" s="257"/>
      <c r="H22" s="258"/>
      <c r="I22" s="257"/>
      <c r="J22" s="258"/>
      <c r="K22" s="261"/>
      <c r="L22" s="257"/>
      <c r="M22" s="258"/>
      <c r="N22" s="257"/>
      <c r="O22" s="258"/>
      <c r="P22" s="261"/>
      <c r="Q22" s="40" t="s">
        <v>33</v>
      </c>
      <c r="R22" s="40" t="s">
        <v>238</v>
      </c>
      <c r="S22" s="40" t="s">
        <v>32</v>
      </c>
      <c r="T22" s="40" t="s">
        <v>31</v>
      </c>
    </row>
    <row r="23" spans="1:256" ht="51.75" customHeight="1" x14ac:dyDescent="0.25">
      <c r="A23" s="254"/>
      <c r="B23" s="40" t="s">
        <v>29</v>
      </c>
      <c r="C23" s="40" t="s">
        <v>30</v>
      </c>
      <c r="D23" s="261"/>
      <c r="E23" s="40" t="s">
        <v>29</v>
      </c>
      <c r="F23" s="40" t="s">
        <v>30</v>
      </c>
      <c r="G23" s="40" t="s">
        <v>29</v>
      </c>
      <c r="H23" s="40" t="s">
        <v>30</v>
      </c>
      <c r="I23" s="40" t="s">
        <v>29</v>
      </c>
      <c r="J23" s="40" t="s">
        <v>30</v>
      </c>
      <c r="K23" s="40" t="s">
        <v>29</v>
      </c>
      <c r="L23" s="40" t="s">
        <v>29</v>
      </c>
      <c r="M23" s="40" t="s">
        <v>30</v>
      </c>
      <c r="N23" s="40" t="s">
        <v>29</v>
      </c>
      <c r="O23" s="40" t="s">
        <v>30</v>
      </c>
      <c r="P23" s="62"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ht="15.75" customHeight="1" x14ac:dyDescent="0.25">
      <c r="A25" s="163">
        <v>1</v>
      </c>
      <c r="B25" s="161" t="s">
        <v>314</v>
      </c>
      <c r="C25" s="161" t="s">
        <v>314</v>
      </c>
      <c r="D25" s="161" t="s">
        <v>314</v>
      </c>
      <c r="E25" s="161" t="s">
        <v>314</v>
      </c>
      <c r="F25" s="161" t="s">
        <v>314</v>
      </c>
      <c r="G25" s="161" t="s">
        <v>314</v>
      </c>
      <c r="H25" s="161" t="s">
        <v>314</v>
      </c>
      <c r="I25" s="161" t="s">
        <v>314</v>
      </c>
      <c r="J25" s="161" t="s">
        <v>314</v>
      </c>
      <c r="K25" s="161" t="s">
        <v>314</v>
      </c>
      <c r="L25" s="161" t="s">
        <v>314</v>
      </c>
      <c r="M25" s="161" t="s">
        <v>314</v>
      </c>
      <c r="N25" s="161" t="s">
        <v>314</v>
      </c>
      <c r="O25" s="161" t="s">
        <v>314</v>
      </c>
      <c r="P25" s="161" t="s">
        <v>314</v>
      </c>
      <c r="Q25" s="161" t="s">
        <v>314</v>
      </c>
      <c r="R25" s="161" t="s">
        <v>314</v>
      </c>
      <c r="S25" s="161" t="s">
        <v>314</v>
      </c>
      <c r="T25" s="161" t="s">
        <v>314</v>
      </c>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22"/>
      <c r="DV25" s="122"/>
      <c r="DW25" s="122"/>
      <c r="DX25" s="122"/>
      <c r="DY25" s="122"/>
      <c r="DZ25" s="122"/>
      <c r="EA25" s="122"/>
      <c r="EB25" s="122"/>
      <c r="EC25" s="122"/>
      <c r="ED25" s="122"/>
      <c r="EE25" s="122"/>
      <c r="EF25" s="122"/>
      <c r="EG25" s="122"/>
      <c r="EH25" s="122"/>
      <c r="EI25" s="122"/>
      <c r="EJ25" s="122"/>
      <c r="EK25" s="122"/>
      <c r="EL25" s="122"/>
      <c r="EM25" s="122"/>
      <c r="EN25" s="122"/>
      <c r="EO25" s="122"/>
      <c r="EP25" s="122"/>
      <c r="EQ25" s="122"/>
      <c r="ER25" s="122"/>
      <c r="ES25" s="122"/>
      <c r="ET25" s="122"/>
      <c r="EU25" s="122"/>
      <c r="EV25" s="122"/>
      <c r="EW25" s="122"/>
      <c r="EX25" s="122"/>
      <c r="EY25" s="122"/>
      <c r="EZ25" s="122"/>
      <c r="FA25" s="122"/>
      <c r="FB25" s="122"/>
      <c r="FC25" s="122"/>
      <c r="FD25" s="122"/>
      <c r="FE25" s="122"/>
      <c r="FF25" s="122"/>
      <c r="FG25" s="122"/>
      <c r="FH25" s="122"/>
      <c r="FI25" s="122"/>
      <c r="FJ25" s="122"/>
      <c r="FK25" s="122"/>
      <c r="FL25" s="122"/>
      <c r="FM25" s="122"/>
      <c r="FN25" s="122"/>
      <c r="FO25" s="122"/>
      <c r="FP25" s="122"/>
      <c r="FQ25" s="122"/>
      <c r="FR25" s="122"/>
      <c r="FS25" s="122"/>
      <c r="FT25" s="122"/>
      <c r="FU25" s="122"/>
      <c r="FV25" s="122"/>
      <c r="FW25" s="122"/>
      <c r="FX25" s="122"/>
      <c r="FY25" s="122"/>
      <c r="FZ25" s="122"/>
      <c r="GA25" s="122"/>
      <c r="GB25" s="122"/>
      <c r="GC25" s="122"/>
      <c r="GD25" s="122"/>
      <c r="GE25" s="122"/>
      <c r="GF25" s="122"/>
      <c r="GG25" s="122"/>
      <c r="GH25" s="122"/>
      <c r="GI25" s="122"/>
      <c r="GJ25" s="122"/>
      <c r="GK25" s="122"/>
      <c r="GL25" s="122"/>
      <c r="GM25" s="122"/>
      <c r="GN25" s="122"/>
      <c r="GO25" s="122"/>
      <c r="GP25" s="122"/>
      <c r="GQ25" s="122"/>
      <c r="GR25" s="122"/>
      <c r="GS25" s="122"/>
      <c r="GT25" s="122"/>
      <c r="GU25" s="122"/>
      <c r="GV25" s="122"/>
      <c r="GW25" s="122"/>
      <c r="GX25" s="122"/>
      <c r="GY25" s="122"/>
      <c r="GZ25" s="122"/>
      <c r="HA25" s="122"/>
      <c r="HB25" s="122"/>
      <c r="HC25" s="122"/>
      <c r="HD25" s="122"/>
      <c r="HE25" s="122"/>
      <c r="HF25" s="122"/>
      <c r="HG25" s="122"/>
      <c r="HH25" s="122"/>
      <c r="HI25" s="122"/>
      <c r="HJ25" s="122"/>
      <c r="HK25" s="122"/>
      <c r="HL25" s="122"/>
      <c r="HM25" s="122"/>
      <c r="HN25" s="122"/>
      <c r="HO25" s="122"/>
      <c r="HP25" s="122"/>
      <c r="HQ25" s="122"/>
      <c r="HR25" s="122"/>
      <c r="HS25" s="122"/>
      <c r="HT25" s="122"/>
      <c r="HU25" s="122"/>
      <c r="HV25" s="122"/>
      <c r="HW25" s="122"/>
      <c r="HX25" s="122"/>
      <c r="HY25" s="122"/>
      <c r="HZ25" s="122"/>
      <c r="IA25" s="122"/>
      <c r="IB25" s="122"/>
      <c r="IC25" s="122"/>
      <c r="ID25" s="122"/>
      <c r="IE25" s="122"/>
      <c r="IF25" s="122"/>
      <c r="IG25" s="122"/>
      <c r="IH25" s="122"/>
      <c r="II25" s="122"/>
      <c r="IJ25" s="122"/>
      <c r="IK25" s="122"/>
      <c r="IL25" s="122"/>
      <c r="IM25" s="122"/>
      <c r="IN25" s="122"/>
      <c r="IO25" s="122"/>
      <c r="IP25" s="122"/>
      <c r="IQ25" s="122"/>
      <c r="IR25" s="122"/>
      <c r="IS25" s="122"/>
      <c r="IT25" s="122"/>
      <c r="IU25" s="122"/>
      <c r="IV25" s="122"/>
    </row>
    <row r="26" spans="1:256" s="153" customFormat="1" x14ac:dyDescent="0.25">
      <c r="A26" s="162"/>
      <c r="B26" s="162"/>
      <c r="C26" s="162"/>
      <c r="D26" s="162"/>
      <c r="E26" s="162"/>
      <c r="F26" s="162"/>
      <c r="G26" s="162"/>
      <c r="H26" s="162"/>
      <c r="I26" s="162"/>
      <c r="J26" s="162"/>
      <c r="K26" s="162"/>
      <c r="L26" s="162"/>
      <c r="M26" s="162"/>
      <c r="N26" s="162"/>
      <c r="O26" s="162"/>
      <c r="P26" s="162"/>
      <c r="Q26" s="162"/>
      <c r="R26" s="162"/>
      <c r="S26" s="162"/>
      <c r="T26" s="162"/>
    </row>
    <row r="27" spans="1:256" s="125" customFormat="1" ht="21.75" customHeight="1" x14ac:dyDescent="0.2">
      <c r="B27" s="124"/>
      <c r="C27" s="124"/>
      <c r="K27" s="124"/>
    </row>
    <row r="28" spans="1:256" s="125" customFormat="1" x14ac:dyDescent="0.25">
      <c r="B28" s="128" t="s">
        <v>273</v>
      </c>
      <c r="C28" s="128"/>
      <c r="D28" s="128"/>
      <c r="E28" s="128"/>
      <c r="F28" s="128"/>
      <c r="G28" s="128"/>
      <c r="H28" s="128"/>
      <c r="I28" s="128"/>
      <c r="J28" s="128"/>
      <c r="K28" s="128"/>
      <c r="L28" s="128"/>
      <c r="M28" s="128"/>
      <c r="N28" s="128"/>
      <c r="O28" s="128"/>
      <c r="P28" s="128"/>
      <c r="Q28" s="128"/>
      <c r="R28" s="128"/>
    </row>
    <row r="29" spans="1:256" x14ac:dyDescent="0.25">
      <c r="B29" s="249" t="s">
        <v>274</v>
      </c>
      <c r="C29" s="249"/>
      <c r="D29" s="249"/>
      <c r="E29" s="249"/>
      <c r="F29" s="249"/>
      <c r="G29" s="249"/>
      <c r="H29" s="249"/>
      <c r="I29" s="249"/>
      <c r="J29" s="249"/>
      <c r="K29" s="249"/>
      <c r="L29" s="249"/>
      <c r="M29" s="249"/>
      <c r="N29" s="249"/>
      <c r="O29" s="249"/>
      <c r="P29" s="249"/>
      <c r="Q29" s="249"/>
      <c r="R29" s="249"/>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275</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276</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280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281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26" t="str">
        <f>'1. паспорт местоположение'!$A$5</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1"/>
      <c r="B6" s="61"/>
      <c r="C6" s="61"/>
      <c r="D6" s="61"/>
      <c r="E6" s="61"/>
      <c r="F6" s="61"/>
      <c r="G6" s="61"/>
      <c r="H6" s="61"/>
      <c r="I6" s="61"/>
      <c r="J6" s="61"/>
      <c r="K6" s="61"/>
      <c r="L6" s="61"/>
      <c r="M6" s="61"/>
      <c r="N6" s="61"/>
      <c r="O6" s="61"/>
      <c r="P6" s="61"/>
      <c r="Q6" s="61"/>
      <c r="R6" s="61"/>
      <c r="S6" s="61"/>
      <c r="T6" s="6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35" t="s">
        <v>5</v>
      </c>
      <c r="F7" s="235"/>
      <c r="G7" s="235"/>
      <c r="H7" s="235"/>
      <c r="I7" s="235"/>
      <c r="J7" s="235"/>
      <c r="K7" s="235"/>
      <c r="L7" s="235"/>
      <c r="M7" s="235"/>
      <c r="N7" s="235"/>
      <c r="O7" s="235"/>
      <c r="P7" s="235"/>
      <c r="Q7" s="235"/>
      <c r="R7" s="235"/>
      <c r="S7" s="235"/>
      <c r="T7" s="235"/>
      <c r="U7" s="235"/>
      <c r="V7" s="235"/>
      <c r="W7" s="235"/>
      <c r="X7" s="235"/>
      <c r="Y7" s="235"/>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4"/>
      <c r="F8" s="64"/>
      <c r="G8" s="64"/>
      <c r="H8" s="64"/>
      <c r="I8" s="64"/>
      <c r="J8" s="64"/>
      <c r="K8" s="64"/>
      <c r="L8" s="64"/>
      <c r="M8" s="64"/>
      <c r="N8" s="64"/>
      <c r="O8" s="64"/>
      <c r="P8" s="64"/>
      <c r="Q8" s="64"/>
      <c r="R8" s="64"/>
      <c r="S8" s="83"/>
      <c r="T8" s="83"/>
      <c r="U8" s="83"/>
      <c r="V8" s="83"/>
      <c r="W8" s="83"/>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6" t="s">
        <v>251</v>
      </c>
      <c r="F9" s="236"/>
      <c r="G9" s="236"/>
      <c r="H9" s="236"/>
      <c r="I9" s="236"/>
      <c r="J9" s="236"/>
      <c r="K9" s="236"/>
      <c r="L9" s="236"/>
      <c r="M9" s="236"/>
      <c r="N9" s="236"/>
      <c r="O9" s="236"/>
      <c r="P9" s="236"/>
      <c r="Q9" s="236"/>
      <c r="R9" s="236"/>
      <c r="S9" s="236"/>
      <c r="T9" s="236"/>
      <c r="U9" s="236"/>
      <c r="V9" s="236"/>
      <c r="W9" s="236"/>
      <c r="X9" s="236"/>
      <c r="Y9" s="236"/>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9" t="s">
        <v>4</v>
      </c>
      <c r="F10" s="239"/>
      <c r="G10" s="239"/>
      <c r="H10" s="239"/>
      <c r="I10" s="239"/>
      <c r="J10" s="239"/>
      <c r="K10" s="239"/>
      <c r="L10" s="239"/>
      <c r="M10" s="239"/>
      <c r="N10" s="239"/>
      <c r="O10" s="239"/>
      <c r="P10" s="239"/>
      <c r="Q10" s="239"/>
      <c r="R10" s="239"/>
      <c r="S10" s="239"/>
      <c r="T10" s="239"/>
      <c r="U10" s="239"/>
      <c r="V10" s="239"/>
      <c r="W10" s="239"/>
      <c r="X10" s="239"/>
      <c r="Y10" s="239"/>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4"/>
      <c r="F11" s="64"/>
      <c r="G11" s="64"/>
      <c r="H11" s="64"/>
      <c r="I11" s="64"/>
      <c r="J11" s="64"/>
      <c r="K11" s="64"/>
      <c r="L11" s="64"/>
      <c r="M11" s="64"/>
      <c r="N11" s="64"/>
      <c r="O11" s="64"/>
      <c r="P11" s="64"/>
      <c r="Q11" s="64"/>
      <c r="R11" s="64"/>
      <c r="S11" s="83"/>
      <c r="T11" s="83"/>
      <c r="U11" s="83"/>
      <c r="V11" s="83"/>
      <c r="W11" s="83"/>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2" t="str">
        <f>'3.3 паспорт описание'!A12:C12</f>
        <v>O_Che477_24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9" t="s">
        <v>3</v>
      </c>
      <c r="F13" s="239"/>
      <c r="G13" s="239"/>
      <c r="H13" s="239"/>
      <c r="I13" s="239"/>
      <c r="J13" s="239"/>
      <c r="K13" s="239"/>
      <c r="L13" s="239"/>
      <c r="M13" s="239"/>
      <c r="N13" s="239"/>
      <c r="O13" s="239"/>
      <c r="P13" s="239"/>
      <c r="Q13" s="239"/>
      <c r="R13" s="239"/>
      <c r="S13" s="239"/>
      <c r="T13" s="239"/>
      <c r="U13" s="239"/>
      <c r="V13" s="239"/>
      <c r="W13" s="239"/>
      <c r="X13" s="239"/>
      <c r="Y13" s="239"/>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4"/>
      <c r="B14" s="84"/>
      <c r="C14" s="84"/>
      <c r="D14" s="84"/>
      <c r="E14" s="37"/>
      <c r="F14" s="37"/>
      <c r="G14" s="37"/>
      <c r="H14" s="37"/>
      <c r="I14" s="121"/>
      <c r="J14" s="37"/>
      <c r="K14" s="37"/>
      <c r="L14" s="37"/>
      <c r="M14" s="37"/>
      <c r="N14" s="37"/>
      <c r="O14" s="37"/>
      <c r="P14" s="37"/>
      <c r="Q14" s="37"/>
      <c r="R14" s="37"/>
      <c r="S14" s="37"/>
      <c r="T14" s="37"/>
      <c r="U14" s="37"/>
      <c r="V14" s="37"/>
      <c r="W14" s="37"/>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c r="DH14" s="84"/>
      <c r="DI14" s="84"/>
      <c r="DJ14" s="84"/>
      <c r="DK14" s="84"/>
      <c r="DL14" s="84"/>
      <c r="DM14" s="84"/>
      <c r="DN14" s="84"/>
      <c r="DO14" s="84"/>
      <c r="DP14" s="84"/>
      <c r="DQ14" s="84"/>
      <c r="DR14" s="84"/>
      <c r="DS14" s="84"/>
      <c r="DT14" s="84"/>
      <c r="DU14" s="84"/>
      <c r="DV14" s="84"/>
      <c r="DW14" s="84"/>
      <c r="DX14" s="84"/>
      <c r="DY14" s="84"/>
      <c r="DZ14" s="84"/>
      <c r="EA14" s="84"/>
      <c r="EB14" s="84"/>
      <c r="EC14" s="84"/>
      <c r="ED14" s="84"/>
      <c r="EE14" s="84"/>
      <c r="EF14" s="84"/>
      <c r="EG14" s="84"/>
      <c r="EH14" s="84"/>
      <c r="EI14" s="84"/>
      <c r="EJ14" s="84"/>
      <c r="EK14" s="84"/>
      <c r="EL14" s="84"/>
      <c r="EM14" s="84"/>
      <c r="EN14" s="84"/>
      <c r="EO14" s="84"/>
      <c r="EP14" s="84"/>
      <c r="EQ14" s="84"/>
      <c r="ER14" s="84"/>
      <c r="ES14" s="84"/>
      <c r="ET14" s="84"/>
      <c r="EU14" s="84"/>
      <c r="EV14" s="84"/>
      <c r="EW14" s="84"/>
      <c r="EX14" s="84"/>
      <c r="EY14" s="84"/>
      <c r="EZ14" s="84"/>
      <c r="FA14" s="84"/>
      <c r="FB14" s="84"/>
      <c r="FC14" s="84"/>
      <c r="FD14" s="84"/>
      <c r="FE14" s="84"/>
      <c r="FF14" s="84"/>
      <c r="FG14" s="84"/>
      <c r="FH14" s="84"/>
      <c r="FI14" s="84"/>
      <c r="FJ14" s="84"/>
      <c r="FK14" s="84"/>
      <c r="FL14" s="84"/>
      <c r="FM14" s="84"/>
      <c r="FN14" s="84"/>
      <c r="FO14" s="84"/>
      <c r="FP14" s="84"/>
      <c r="FQ14" s="84"/>
      <c r="FR14" s="84"/>
      <c r="FS14" s="84"/>
      <c r="FT14" s="84"/>
      <c r="FU14" s="84"/>
      <c r="FV14" s="84"/>
      <c r="FW14" s="84"/>
      <c r="FX14" s="84"/>
      <c r="FY14" s="84"/>
      <c r="FZ14" s="84"/>
      <c r="GA14" s="84"/>
      <c r="GB14" s="84"/>
      <c r="GC14" s="84"/>
      <c r="GD14" s="84"/>
      <c r="GE14" s="84"/>
      <c r="GF14" s="84"/>
      <c r="GG14" s="84"/>
      <c r="GH14" s="84"/>
      <c r="GI14" s="84"/>
      <c r="GJ14" s="84"/>
      <c r="GK14" s="84"/>
      <c r="GL14" s="84"/>
      <c r="GM14" s="84"/>
      <c r="GN14" s="84"/>
      <c r="GO14" s="84"/>
      <c r="GP14" s="84"/>
      <c r="GQ14" s="84"/>
      <c r="GR14" s="84"/>
      <c r="GS14" s="84"/>
      <c r="GT14" s="84"/>
      <c r="GU14" s="84"/>
      <c r="GV14" s="84"/>
      <c r="GW14" s="84"/>
      <c r="GX14" s="84"/>
      <c r="GY14" s="84"/>
      <c r="GZ14" s="84"/>
      <c r="HA14" s="84"/>
      <c r="HB14" s="84"/>
      <c r="HC14" s="84"/>
      <c r="HD14" s="84"/>
      <c r="HE14" s="84"/>
      <c r="HF14" s="84"/>
      <c r="HG14" s="84"/>
      <c r="HH14" s="84"/>
      <c r="HI14" s="84"/>
      <c r="HJ14" s="84"/>
      <c r="HK14" s="84"/>
      <c r="HL14" s="84"/>
      <c r="HM14" s="84"/>
      <c r="HN14" s="84"/>
      <c r="HO14" s="84"/>
      <c r="HP14" s="84"/>
      <c r="HQ14" s="84"/>
      <c r="HR14" s="84"/>
      <c r="HS14" s="84"/>
      <c r="HT14" s="84"/>
      <c r="HU14" s="84"/>
      <c r="HV14" s="84"/>
      <c r="HW14" s="84"/>
      <c r="HX14" s="84"/>
      <c r="HY14" s="84"/>
      <c r="HZ14" s="84"/>
      <c r="IA14" s="84"/>
      <c r="IB14" s="84"/>
      <c r="IC14" s="84"/>
      <c r="ID14" s="84"/>
      <c r="IE14" s="84"/>
      <c r="IF14" s="84"/>
      <c r="IG14" s="84"/>
      <c r="IH14" s="84"/>
      <c r="II14" s="84"/>
      <c r="IJ14" s="84"/>
      <c r="IK14" s="84"/>
      <c r="IL14" s="84"/>
      <c r="IM14" s="84"/>
      <c r="IN14" s="84"/>
      <c r="IO14" s="84"/>
      <c r="IP14" s="84"/>
      <c r="IQ14" s="84"/>
      <c r="IR14" s="84"/>
      <c r="IS14" s="84"/>
      <c r="IT14" s="84"/>
      <c r="IU14" s="84"/>
      <c r="IV14" s="84"/>
    </row>
    <row r="15" spans="1:256" ht="20.25" x14ac:dyDescent="0.25">
      <c r="A15" s="238" t="str">
        <f>'1. паспорт местоположение'!A15:C15</f>
        <v>Приобретение оборудования для намотки кабеля на барабан УПК-25-РЧ-003 (Перемоточное устройство с электроприв.и РКУ)</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row>
    <row r="16" spans="1:256" x14ac:dyDescent="0.25">
      <c r="A16" s="86"/>
      <c r="B16" s="86"/>
      <c r="C16" s="86"/>
      <c r="D16" s="86"/>
      <c r="E16" s="239" t="s">
        <v>2</v>
      </c>
      <c r="F16" s="239"/>
      <c r="G16" s="239"/>
      <c r="H16" s="239"/>
      <c r="I16" s="239"/>
      <c r="J16" s="239"/>
      <c r="K16" s="239"/>
      <c r="L16" s="239"/>
      <c r="M16" s="239"/>
      <c r="N16" s="239"/>
      <c r="O16" s="239"/>
      <c r="P16" s="239"/>
      <c r="Q16" s="239"/>
      <c r="R16" s="239"/>
      <c r="S16" s="239"/>
      <c r="T16" s="239"/>
      <c r="U16" s="239"/>
      <c r="V16" s="239"/>
      <c r="W16" s="239"/>
      <c r="X16" s="239"/>
      <c r="Y16" s="239"/>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c r="CQ16" s="86"/>
      <c r="CR16" s="86"/>
      <c r="CS16" s="86"/>
      <c r="CT16" s="86"/>
      <c r="CU16" s="86"/>
      <c r="CV16" s="86"/>
      <c r="CW16" s="86"/>
      <c r="CX16" s="86"/>
      <c r="CY16" s="86"/>
      <c r="CZ16" s="86"/>
      <c r="DA16" s="86"/>
      <c r="DB16" s="86"/>
      <c r="DC16" s="86"/>
      <c r="DD16" s="86"/>
      <c r="DE16" s="86"/>
      <c r="DF16" s="86"/>
      <c r="DG16" s="86"/>
      <c r="DH16" s="86"/>
      <c r="DI16" s="86"/>
      <c r="DJ16" s="86"/>
      <c r="DK16" s="86"/>
      <c r="DL16" s="86"/>
      <c r="DM16" s="86"/>
      <c r="DN16" s="86"/>
      <c r="DO16" s="86"/>
      <c r="DP16" s="86"/>
      <c r="DQ16" s="86"/>
      <c r="DR16" s="86"/>
      <c r="DS16" s="86"/>
      <c r="DT16" s="86"/>
      <c r="DU16" s="86"/>
      <c r="DV16" s="86"/>
      <c r="DW16" s="86"/>
      <c r="DX16" s="86"/>
      <c r="DY16" s="86"/>
      <c r="DZ16" s="86"/>
      <c r="EA16" s="86"/>
      <c r="EB16" s="86"/>
      <c r="EC16" s="86"/>
      <c r="ED16" s="86"/>
      <c r="EE16" s="86"/>
      <c r="EF16" s="86"/>
      <c r="EG16" s="86"/>
      <c r="EH16" s="86"/>
      <c r="EI16" s="86"/>
      <c r="EJ16" s="86"/>
      <c r="EK16" s="86"/>
      <c r="EL16" s="86"/>
      <c r="EM16" s="86"/>
      <c r="EN16" s="86"/>
      <c r="EO16" s="86"/>
      <c r="EP16" s="86"/>
      <c r="EQ16" s="86"/>
      <c r="ER16" s="86"/>
      <c r="ES16" s="86"/>
      <c r="ET16" s="86"/>
      <c r="EU16" s="86"/>
      <c r="EV16" s="86"/>
      <c r="EW16" s="86"/>
      <c r="EX16" s="86"/>
      <c r="EY16" s="86"/>
      <c r="EZ16" s="86"/>
      <c r="FA16" s="86"/>
      <c r="FB16" s="86"/>
      <c r="FC16" s="86"/>
      <c r="FD16" s="86"/>
      <c r="FE16" s="86"/>
      <c r="FF16" s="86"/>
      <c r="FG16" s="86"/>
      <c r="FH16" s="86"/>
      <c r="FI16" s="86"/>
      <c r="FJ16" s="86"/>
      <c r="FK16" s="86"/>
      <c r="FL16" s="86"/>
      <c r="FM16" s="86"/>
      <c r="FN16" s="86"/>
      <c r="FO16" s="86"/>
      <c r="FP16" s="86"/>
      <c r="FQ16" s="86"/>
      <c r="FR16" s="86"/>
      <c r="FS16" s="86"/>
      <c r="FT16" s="86"/>
      <c r="FU16" s="86"/>
      <c r="FV16" s="86"/>
      <c r="FW16" s="86"/>
      <c r="FX16" s="86"/>
      <c r="FY16" s="86"/>
      <c r="FZ16" s="86"/>
      <c r="GA16" s="86"/>
      <c r="GB16" s="86"/>
      <c r="GC16" s="86"/>
      <c r="GD16" s="86"/>
      <c r="GE16" s="86"/>
      <c r="GF16" s="86"/>
      <c r="GG16" s="86"/>
      <c r="GH16" s="86"/>
      <c r="GI16" s="86"/>
      <c r="GJ16" s="86"/>
      <c r="GK16" s="86"/>
      <c r="GL16" s="86"/>
      <c r="GM16" s="86"/>
      <c r="GN16" s="86"/>
      <c r="GO16" s="86"/>
      <c r="GP16" s="86"/>
      <c r="GQ16" s="86"/>
      <c r="GR16" s="86"/>
      <c r="GS16" s="86"/>
      <c r="GT16" s="86"/>
      <c r="GU16" s="86"/>
      <c r="GV16" s="86"/>
      <c r="GW16" s="86"/>
      <c r="GX16" s="86"/>
      <c r="GY16" s="86"/>
      <c r="GZ16" s="86"/>
      <c r="HA16" s="86"/>
      <c r="HB16" s="86"/>
      <c r="HC16" s="86"/>
      <c r="HD16" s="86"/>
      <c r="HE16" s="86"/>
      <c r="HF16" s="86"/>
      <c r="HG16" s="86"/>
      <c r="HH16" s="86"/>
      <c r="HI16" s="86"/>
      <c r="HJ16" s="86"/>
      <c r="HK16" s="86"/>
      <c r="HL16" s="86"/>
      <c r="HM16" s="86"/>
      <c r="HN16" s="86"/>
      <c r="HO16" s="86"/>
      <c r="HP16" s="86"/>
      <c r="HQ16" s="86"/>
      <c r="HR16" s="86"/>
      <c r="HS16" s="86"/>
      <c r="HT16" s="86"/>
      <c r="HU16" s="86"/>
      <c r="HV16" s="86"/>
      <c r="HW16" s="86"/>
      <c r="HX16" s="86"/>
      <c r="HY16" s="86"/>
      <c r="HZ16" s="86"/>
      <c r="IA16" s="86"/>
      <c r="IB16" s="86"/>
      <c r="IC16" s="86"/>
      <c r="ID16" s="86"/>
      <c r="IE16" s="86"/>
      <c r="IF16" s="86"/>
      <c r="IG16" s="86"/>
      <c r="IH16" s="86"/>
      <c r="II16" s="86"/>
      <c r="IJ16" s="86"/>
      <c r="IK16" s="86"/>
      <c r="IL16" s="86"/>
      <c r="IM16" s="86"/>
      <c r="IN16" s="86"/>
      <c r="IO16" s="86"/>
      <c r="IP16" s="86"/>
      <c r="IQ16" s="86"/>
      <c r="IR16" s="86"/>
      <c r="IS16" s="86"/>
      <c r="IT16" s="86"/>
      <c r="IU16" s="86"/>
      <c r="IV16" s="86"/>
    </row>
    <row r="17" spans="1:256" ht="18.75" x14ac:dyDescent="0.25">
      <c r="A17" s="86"/>
      <c r="B17" s="86"/>
      <c r="C17" s="86"/>
      <c r="D17" s="86"/>
      <c r="E17" s="38"/>
      <c r="F17" s="38"/>
      <c r="G17" s="38"/>
      <c r="H17" s="38"/>
      <c r="I17" s="38"/>
      <c r="J17" s="38"/>
      <c r="K17" s="38"/>
      <c r="L17" s="38"/>
      <c r="M17" s="38"/>
      <c r="N17" s="38"/>
      <c r="O17" s="38"/>
      <c r="P17" s="38"/>
      <c r="Q17" s="38"/>
      <c r="R17" s="38"/>
      <c r="S17" s="38"/>
      <c r="T17" s="38"/>
      <c r="U17" s="38"/>
      <c r="V17" s="38"/>
      <c r="W17" s="38"/>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c r="CQ17" s="86"/>
      <c r="CR17" s="86"/>
      <c r="CS17" s="86"/>
      <c r="CT17" s="86"/>
      <c r="CU17" s="86"/>
      <c r="CV17" s="86"/>
      <c r="CW17" s="86"/>
      <c r="CX17" s="86"/>
      <c r="CY17" s="86"/>
      <c r="CZ17" s="86"/>
      <c r="DA17" s="86"/>
      <c r="DB17" s="86"/>
      <c r="DC17" s="86"/>
      <c r="DD17" s="86"/>
      <c r="DE17" s="86"/>
      <c r="DF17" s="86"/>
      <c r="DG17" s="86"/>
      <c r="DH17" s="86"/>
      <c r="DI17" s="86"/>
      <c r="DJ17" s="86"/>
      <c r="DK17" s="86"/>
      <c r="DL17" s="86"/>
      <c r="DM17" s="86"/>
      <c r="DN17" s="86"/>
      <c r="DO17" s="86"/>
      <c r="DP17" s="86"/>
      <c r="DQ17" s="86"/>
      <c r="DR17" s="86"/>
      <c r="DS17" s="86"/>
      <c r="DT17" s="86"/>
      <c r="DU17" s="86"/>
      <c r="DV17" s="86"/>
      <c r="DW17" s="86"/>
      <c r="DX17" s="86"/>
      <c r="DY17" s="86"/>
      <c r="DZ17" s="86"/>
      <c r="EA17" s="86"/>
      <c r="EB17" s="86"/>
      <c r="EC17" s="86"/>
      <c r="ED17" s="86"/>
      <c r="EE17" s="86"/>
      <c r="EF17" s="86"/>
      <c r="EG17" s="86"/>
      <c r="EH17" s="86"/>
      <c r="EI17" s="86"/>
      <c r="EJ17" s="86"/>
      <c r="EK17" s="86"/>
      <c r="EL17" s="86"/>
      <c r="EM17" s="86"/>
      <c r="EN17" s="86"/>
      <c r="EO17" s="86"/>
      <c r="EP17" s="86"/>
      <c r="EQ17" s="86"/>
      <c r="ER17" s="86"/>
      <c r="ES17" s="86"/>
      <c r="ET17" s="86"/>
      <c r="EU17" s="86"/>
      <c r="EV17" s="86"/>
      <c r="EW17" s="86"/>
      <c r="EX17" s="86"/>
      <c r="EY17" s="86"/>
      <c r="EZ17" s="86"/>
      <c r="FA17" s="86"/>
      <c r="FB17" s="86"/>
      <c r="FC17" s="86"/>
      <c r="FD17" s="86"/>
      <c r="FE17" s="86"/>
      <c r="FF17" s="86"/>
      <c r="FG17" s="86"/>
      <c r="FH17" s="86"/>
      <c r="FI17" s="86"/>
      <c r="FJ17" s="86"/>
      <c r="FK17" s="86"/>
      <c r="FL17" s="86"/>
      <c r="FM17" s="86"/>
      <c r="FN17" s="86"/>
      <c r="FO17" s="86"/>
      <c r="FP17" s="86"/>
      <c r="FQ17" s="86"/>
      <c r="FR17" s="86"/>
      <c r="FS17" s="86"/>
      <c r="FT17" s="86"/>
      <c r="FU17" s="86"/>
      <c r="FV17" s="86"/>
      <c r="FW17" s="86"/>
      <c r="FX17" s="86"/>
      <c r="FY17" s="86"/>
      <c r="FZ17" s="86"/>
      <c r="GA17" s="86"/>
      <c r="GB17" s="86"/>
      <c r="GC17" s="86"/>
      <c r="GD17" s="86"/>
      <c r="GE17" s="86"/>
      <c r="GF17" s="86"/>
      <c r="GG17" s="86"/>
      <c r="GH17" s="86"/>
      <c r="GI17" s="86"/>
      <c r="GJ17" s="86"/>
      <c r="GK17" s="86"/>
      <c r="GL17" s="86"/>
      <c r="GM17" s="86"/>
      <c r="GN17" s="86"/>
      <c r="GO17" s="86"/>
      <c r="GP17" s="86"/>
      <c r="GQ17" s="86"/>
      <c r="GR17" s="86"/>
      <c r="GS17" s="86"/>
      <c r="GT17" s="86"/>
      <c r="GU17" s="86"/>
      <c r="GV17" s="86"/>
      <c r="GW17" s="86"/>
      <c r="GX17" s="86"/>
      <c r="GY17" s="86"/>
      <c r="GZ17" s="86"/>
      <c r="HA17" s="86"/>
      <c r="HB17" s="86"/>
      <c r="HC17" s="86"/>
      <c r="HD17" s="86"/>
      <c r="HE17" s="86"/>
      <c r="HF17" s="86"/>
      <c r="HG17" s="86"/>
      <c r="HH17" s="86"/>
      <c r="HI17" s="86"/>
      <c r="HJ17" s="86"/>
      <c r="HK17" s="86"/>
      <c r="HL17" s="86"/>
      <c r="HM17" s="86"/>
      <c r="HN17" s="86"/>
      <c r="HO17" s="86"/>
      <c r="HP17" s="86"/>
      <c r="HQ17" s="86"/>
      <c r="HR17" s="86"/>
      <c r="HS17" s="86"/>
      <c r="HT17" s="86"/>
      <c r="HU17" s="86"/>
      <c r="HV17" s="86"/>
      <c r="HW17" s="86"/>
      <c r="HX17" s="86"/>
      <c r="HY17" s="86"/>
      <c r="HZ17" s="86"/>
      <c r="IA17" s="86"/>
      <c r="IB17" s="86"/>
      <c r="IC17" s="86"/>
      <c r="ID17" s="86"/>
      <c r="IE17" s="86"/>
      <c r="IF17" s="86"/>
      <c r="IG17" s="86"/>
      <c r="IH17" s="86"/>
      <c r="II17" s="86"/>
      <c r="IJ17" s="86"/>
      <c r="IK17" s="86"/>
      <c r="IL17" s="86"/>
      <c r="IM17" s="86"/>
      <c r="IN17" s="86"/>
      <c r="IO17" s="86"/>
      <c r="IP17" s="86"/>
      <c r="IQ17" s="86"/>
      <c r="IR17" s="86"/>
      <c r="IS17" s="86"/>
      <c r="IT17" s="86"/>
      <c r="IU17" s="86"/>
      <c r="IV17" s="86"/>
    </row>
    <row r="18" spans="1:256" ht="18.75" x14ac:dyDescent="0.25">
      <c r="A18" s="86"/>
      <c r="B18" s="86"/>
      <c r="C18" s="86"/>
      <c r="D18" s="86"/>
      <c r="E18" s="236"/>
      <c r="F18" s="236"/>
      <c r="G18" s="236"/>
      <c r="H18" s="236"/>
      <c r="I18" s="236"/>
      <c r="J18" s="236"/>
      <c r="K18" s="236"/>
      <c r="L18" s="236"/>
      <c r="M18" s="236"/>
      <c r="N18" s="236"/>
      <c r="O18" s="236"/>
      <c r="P18" s="236"/>
      <c r="Q18" s="236"/>
      <c r="R18" s="236"/>
      <c r="S18" s="236"/>
      <c r="T18" s="236"/>
      <c r="U18" s="236"/>
      <c r="V18" s="236"/>
      <c r="W18" s="236"/>
      <c r="X18" s="236"/>
      <c r="Y18" s="23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c r="CU18" s="86"/>
      <c r="CV18" s="86"/>
      <c r="CW18" s="86"/>
      <c r="CX18" s="86"/>
      <c r="CY18" s="86"/>
      <c r="CZ18" s="86"/>
      <c r="DA18" s="86"/>
      <c r="DB18" s="86"/>
      <c r="DC18" s="86"/>
      <c r="DD18" s="86"/>
      <c r="DE18" s="86"/>
      <c r="DF18" s="86"/>
      <c r="DG18" s="86"/>
      <c r="DH18" s="86"/>
      <c r="DI18" s="86"/>
      <c r="DJ18" s="86"/>
      <c r="DK18" s="86"/>
      <c r="DL18" s="86"/>
      <c r="DM18" s="86"/>
      <c r="DN18" s="86"/>
      <c r="DO18" s="86"/>
      <c r="DP18" s="86"/>
      <c r="DQ18" s="86"/>
      <c r="DR18" s="86"/>
      <c r="DS18" s="86"/>
      <c r="DT18" s="86"/>
      <c r="DU18" s="86"/>
      <c r="DV18" s="86"/>
      <c r="DW18" s="86"/>
      <c r="DX18" s="86"/>
      <c r="DY18" s="86"/>
      <c r="DZ18" s="86"/>
      <c r="EA18" s="86"/>
      <c r="EB18" s="86"/>
      <c r="EC18" s="86"/>
      <c r="ED18" s="86"/>
      <c r="EE18" s="86"/>
      <c r="EF18" s="86"/>
      <c r="EG18" s="86"/>
      <c r="EH18" s="86"/>
      <c r="EI18" s="86"/>
      <c r="EJ18" s="86"/>
      <c r="EK18" s="86"/>
      <c r="EL18" s="86"/>
      <c r="EM18" s="86"/>
      <c r="EN18" s="86"/>
      <c r="EO18" s="86"/>
      <c r="EP18" s="86"/>
      <c r="EQ18" s="86"/>
      <c r="ER18" s="86"/>
      <c r="ES18" s="86"/>
      <c r="ET18" s="86"/>
      <c r="EU18" s="86"/>
      <c r="EV18" s="86"/>
      <c r="EW18" s="86"/>
      <c r="EX18" s="86"/>
      <c r="EY18" s="86"/>
      <c r="EZ18" s="86"/>
      <c r="FA18" s="86"/>
      <c r="FB18" s="86"/>
      <c r="FC18" s="86"/>
      <c r="FD18" s="86"/>
      <c r="FE18" s="86"/>
      <c r="FF18" s="86"/>
      <c r="FG18" s="86"/>
      <c r="FH18" s="86"/>
      <c r="FI18" s="86"/>
      <c r="FJ18" s="86"/>
      <c r="FK18" s="86"/>
      <c r="FL18" s="86"/>
      <c r="FM18" s="86"/>
      <c r="FN18" s="86"/>
      <c r="FO18" s="86"/>
      <c r="FP18" s="86"/>
      <c r="FQ18" s="86"/>
      <c r="FR18" s="86"/>
      <c r="FS18" s="86"/>
      <c r="FT18" s="86"/>
      <c r="FU18" s="86"/>
      <c r="FV18" s="86"/>
      <c r="FW18" s="86"/>
      <c r="FX18" s="86"/>
      <c r="FY18" s="86"/>
      <c r="FZ18" s="86"/>
      <c r="GA18" s="86"/>
      <c r="GB18" s="86"/>
      <c r="GC18" s="86"/>
      <c r="GD18" s="86"/>
      <c r="GE18" s="86"/>
      <c r="GF18" s="86"/>
      <c r="GG18" s="86"/>
      <c r="GH18" s="86"/>
      <c r="GI18" s="86"/>
      <c r="GJ18" s="86"/>
      <c r="GK18" s="86"/>
      <c r="GL18" s="86"/>
      <c r="GM18" s="86"/>
      <c r="GN18" s="86"/>
      <c r="GO18" s="86"/>
      <c r="GP18" s="86"/>
      <c r="GQ18" s="86"/>
      <c r="GR18" s="86"/>
      <c r="GS18" s="86"/>
      <c r="GT18" s="86"/>
      <c r="GU18" s="86"/>
      <c r="GV18" s="86"/>
      <c r="GW18" s="86"/>
      <c r="GX18" s="86"/>
      <c r="GY18" s="86"/>
      <c r="GZ18" s="86"/>
      <c r="HA18" s="86"/>
      <c r="HB18" s="86"/>
      <c r="HC18" s="86"/>
      <c r="HD18" s="86"/>
      <c r="HE18" s="86"/>
      <c r="HF18" s="86"/>
      <c r="HG18" s="86"/>
      <c r="HH18" s="86"/>
      <c r="HI18" s="86"/>
      <c r="HJ18" s="86"/>
      <c r="HK18" s="86"/>
      <c r="HL18" s="86"/>
      <c r="HM18" s="86"/>
      <c r="HN18" s="86"/>
      <c r="HO18" s="86"/>
      <c r="HP18" s="86"/>
      <c r="HQ18" s="86"/>
      <c r="HR18" s="86"/>
      <c r="HS18" s="86"/>
      <c r="HT18" s="86"/>
      <c r="HU18" s="86"/>
      <c r="HV18" s="86"/>
      <c r="HW18" s="86"/>
      <c r="HX18" s="86"/>
      <c r="HY18" s="86"/>
      <c r="HZ18" s="86"/>
      <c r="IA18" s="86"/>
      <c r="IB18" s="86"/>
      <c r="IC18" s="86"/>
      <c r="ID18" s="86"/>
      <c r="IE18" s="86"/>
      <c r="IF18" s="86"/>
      <c r="IG18" s="86"/>
      <c r="IH18" s="86"/>
      <c r="II18" s="86"/>
      <c r="IJ18" s="86"/>
      <c r="IK18" s="86"/>
      <c r="IL18" s="86"/>
      <c r="IM18" s="86"/>
      <c r="IN18" s="86"/>
      <c r="IO18" s="86"/>
      <c r="IP18" s="86"/>
      <c r="IQ18" s="86"/>
      <c r="IR18" s="86"/>
      <c r="IS18" s="86"/>
      <c r="IT18" s="86"/>
      <c r="IU18" s="86"/>
      <c r="IV18" s="86"/>
    </row>
    <row r="19" spans="1:256" ht="18.75" x14ac:dyDescent="0.25">
      <c r="A19" s="236" t="s">
        <v>315</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259" t="s">
        <v>1</v>
      </c>
      <c r="B21" s="255" t="s">
        <v>316</v>
      </c>
      <c r="C21" s="256"/>
      <c r="D21" s="255" t="s">
        <v>317</v>
      </c>
      <c r="E21" s="256"/>
      <c r="F21" s="262" t="s">
        <v>304</v>
      </c>
      <c r="G21" s="263"/>
      <c r="H21" s="263"/>
      <c r="I21" s="264"/>
      <c r="J21" s="259" t="s">
        <v>318</v>
      </c>
      <c r="K21" s="255" t="s">
        <v>319</v>
      </c>
      <c r="L21" s="256"/>
      <c r="M21" s="255" t="s">
        <v>320</v>
      </c>
      <c r="N21" s="256"/>
      <c r="O21" s="255" t="s">
        <v>321</v>
      </c>
      <c r="P21" s="256"/>
      <c r="Q21" s="255" t="s">
        <v>322</v>
      </c>
      <c r="R21" s="256"/>
      <c r="S21" s="259" t="s">
        <v>323</v>
      </c>
      <c r="T21" s="259" t="s">
        <v>324</v>
      </c>
      <c r="U21" s="259" t="s">
        <v>325</v>
      </c>
      <c r="V21" s="255" t="s">
        <v>326</v>
      </c>
      <c r="W21" s="256"/>
      <c r="X21" s="262" t="s">
        <v>35</v>
      </c>
      <c r="Y21" s="263"/>
      <c r="Z21" s="262" t="s">
        <v>34</v>
      </c>
      <c r="AA21" s="263"/>
    </row>
    <row r="22" spans="1:256" ht="141.75" x14ac:dyDescent="0.25">
      <c r="A22" s="260"/>
      <c r="B22" s="257"/>
      <c r="C22" s="258"/>
      <c r="D22" s="257"/>
      <c r="E22" s="258"/>
      <c r="F22" s="262" t="s">
        <v>327</v>
      </c>
      <c r="G22" s="264"/>
      <c r="H22" s="262" t="s">
        <v>328</v>
      </c>
      <c r="I22" s="264"/>
      <c r="J22" s="261"/>
      <c r="K22" s="257"/>
      <c r="L22" s="258"/>
      <c r="M22" s="257"/>
      <c r="N22" s="258"/>
      <c r="O22" s="257"/>
      <c r="P22" s="258"/>
      <c r="Q22" s="257"/>
      <c r="R22" s="258"/>
      <c r="S22" s="261"/>
      <c r="T22" s="261"/>
      <c r="U22" s="261"/>
      <c r="V22" s="257"/>
      <c r="W22" s="258"/>
      <c r="X22" s="40" t="s">
        <v>33</v>
      </c>
      <c r="Y22" s="40" t="s">
        <v>238</v>
      </c>
      <c r="Z22" s="40" t="s">
        <v>32</v>
      </c>
      <c r="AA22" s="40" t="s">
        <v>31</v>
      </c>
    </row>
    <row r="23" spans="1:256" x14ac:dyDescent="0.25">
      <c r="A23" s="261"/>
      <c r="B23" s="62" t="s">
        <v>29</v>
      </c>
      <c r="C23" s="62" t="s">
        <v>30</v>
      </c>
      <c r="D23" s="62" t="s">
        <v>29</v>
      </c>
      <c r="E23" s="62" t="s">
        <v>30</v>
      </c>
      <c r="F23" s="62" t="s">
        <v>29</v>
      </c>
      <c r="G23" s="62" t="s">
        <v>30</v>
      </c>
      <c r="H23" s="62" t="s">
        <v>29</v>
      </c>
      <c r="I23" s="62" t="s">
        <v>30</v>
      </c>
      <c r="J23" s="62" t="s">
        <v>29</v>
      </c>
      <c r="K23" s="62" t="s">
        <v>29</v>
      </c>
      <c r="L23" s="62" t="s">
        <v>30</v>
      </c>
      <c r="M23" s="62" t="s">
        <v>29</v>
      </c>
      <c r="N23" s="62" t="s">
        <v>30</v>
      </c>
      <c r="O23" s="62" t="s">
        <v>29</v>
      </c>
      <c r="P23" s="62" t="s">
        <v>30</v>
      </c>
      <c r="Q23" s="62" t="s">
        <v>29</v>
      </c>
      <c r="R23" s="62" t="s">
        <v>30</v>
      </c>
      <c r="S23" s="62" t="s">
        <v>29</v>
      </c>
      <c r="T23" s="62" t="s">
        <v>29</v>
      </c>
      <c r="U23" s="62" t="s">
        <v>29</v>
      </c>
      <c r="V23" s="62" t="s">
        <v>29</v>
      </c>
      <c r="W23" s="62" t="s">
        <v>30</v>
      </c>
      <c r="X23" s="62" t="s">
        <v>29</v>
      </c>
      <c r="Y23" s="62"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8"/>
      <c r="B25" s="159" t="s">
        <v>314</v>
      </c>
      <c r="C25" s="159" t="s">
        <v>314</v>
      </c>
      <c r="D25" s="159" t="s">
        <v>314</v>
      </c>
      <c r="E25" s="159" t="s">
        <v>314</v>
      </c>
      <c r="F25" s="159" t="s">
        <v>314</v>
      </c>
      <c r="G25" s="159" t="s">
        <v>314</v>
      </c>
      <c r="H25" s="159" t="s">
        <v>314</v>
      </c>
      <c r="I25" s="159" t="s">
        <v>314</v>
      </c>
      <c r="J25" s="159" t="s">
        <v>314</v>
      </c>
      <c r="K25" s="159" t="s">
        <v>314</v>
      </c>
      <c r="L25" s="159" t="s">
        <v>314</v>
      </c>
      <c r="M25" s="159" t="s">
        <v>314</v>
      </c>
      <c r="N25" s="159" t="s">
        <v>314</v>
      </c>
      <c r="O25" s="159" t="s">
        <v>314</v>
      </c>
      <c r="P25" s="159" t="s">
        <v>314</v>
      </c>
      <c r="Q25" s="159" t="s">
        <v>314</v>
      </c>
      <c r="R25" s="159" t="s">
        <v>314</v>
      </c>
      <c r="S25" s="159" t="s">
        <v>314</v>
      </c>
      <c r="T25" s="159" t="s">
        <v>314</v>
      </c>
      <c r="U25" s="159" t="s">
        <v>314</v>
      </c>
      <c r="V25" s="159" t="s">
        <v>314</v>
      </c>
      <c r="W25" s="159" t="s">
        <v>314</v>
      </c>
      <c r="X25" s="159" t="s">
        <v>314</v>
      </c>
      <c r="Y25" s="159" t="s">
        <v>314</v>
      </c>
      <c r="Z25" s="159" t="s">
        <v>314</v>
      </c>
      <c r="AA25" s="159" t="s">
        <v>314</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F22:G22"/>
    <mergeCell ref="H22:I22"/>
    <mergeCell ref="M21:N22"/>
    <mergeCell ref="O21:P22"/>
    <mergeCell ref="A5:AA5"/>
    <mergeCell ref="E7:Y7"/>
    <mergeCell ref="E9:Y9"/>
    <mergeCell ref="E10:Y10"/>
    <mergeCell ref="A15:AA15"/>
    <mergeCell ref="E13:Y13"/>
    <mergeCell ref="A12:AB12"/>
    <mergeCell ref="E18:Y18"/>
    <mergeCell ref="E16:Y16"/>
    <mergeCell ref="S21:S22"/>
    <mergeCell ref="K21:L22"/>
    <mergeCell ref="A19:AA19"/>
    <mergeCell ref="A21:A23"/>
    <mergeCell ref="X21:Y21"/>
    <mergeCell ref="Z21:AA21"/>
    <mergeCell ref="T21:T22"/>
    <mergeCell ref="U21:U22"/>
    <mergeCell ref="Q21:R22"/>
    <mergeCell ref="B21:C22"/>
    <mergeCell ref="D21:E22"/>
    <mergeCell ref="F21:I21"/>
    <mergeCell ref="J21:J22"/>
    <mergeCell ref="V21:W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B16" zoomScale="80" zoomScaleNormal="80" workbookViewId="0">
      <selection activeCell="C22" sqref="C22"/>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26" t="str">
        <f>'1. паспорт местоположение'!$A$5</f>
        <v>Год раскрытия информации: 2025 год</v>
      </c>
      <c r="B5" s="226"/>
      <c r="C5" s="226"/>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30" t="s">
        <v>5</v>
      </c>
      <c r="B7" s="230"/>
      <c r="C7" s="230"/>
      <c r="D7" s="72"/>
      <c r="E7" s="72"/>
      <c r="F7" s="72"/>
      <c r="G7" s="72"/>
      <c r="H7" s="72"/>
      <c r="I7" s="72"/>
      <c r="J7" s="72"/>
      <c r="K7" s="72"/>
      <c r="L7" s="72"/>
      <c r="M7" s="72"/>
      <c r="N7" s="72"/>
      <c r="O7" s="72"/>
      <c r="P7" s="72"/>
      <c r="Q7" s="72"/>
      <c r="R7" s="72"/>
      <c r="S7" s="72"/>
    </row>
    <row r="8" spans="1:27" s="2" customFormat="1" ht="18.75" x14ac:dyDescent="0.2">
      <c r="A8" s="230"/>
      <c r="B8" s="230"/>
      <c r="C8" s="230"/>
      <c r="D8" s="107"/>
      <c r="E8" s="107"/>
      <c r="F8" s="72"/>
      <c r="G8" s="72"/>
      <c r="H8" s="72"/>
      <c r="I8" s="72"/>
      <c r="J8" s="72"/>
      <c r="K8" s="72"/>
      <c r="L8" s="72"/>
      <c r="M8" s="72"/>
      <c r="N8" s="72"/>
      <c r="O8" s="72"/>
      <c r="P8" s="72"/>
      <c r="Q8" s="72"/>
      <c r="R8" s="72"/>
      <c r="S8" s="72"/>
    </row>
    <row r="9" spans="1:27" s="2" customFormat="1" ht="18.75" x14ac:dyDescent="0.2">
      <c r="A9" s="231" t="s">
        <v>251</v>
      </c>
      <c r="B9" s="231"/>
      <c r="C9" s="231"/>
      <c r="D9" s="75"/>
      <c r="E9" s="75"/>
      <c r="F9" s="72"/>
      <c r="G9" s="72"/>
      <c r="H9" s="72"/>
      <c r="I9" s="72"/>
      <c r="J9" s="72"/>
      <c r="K9" s="72"/>
      <c r="L9" s="72"/>
      <c r="M9" s="72"/>
      <c r="N9" s="72"/>
      <c r="O9" s="72"/>
      <c r="P9" s="72"/>
      <c r="Q9" s="72"/>
      <c r="R9" s="72"/>
      <c r="S9" s="72"/>
    </row>
    <row r="10" spans="1:27" s="2" customFormat="1" ht="18.75" x14ac:dyDescent="0.2">
      <c r="A10" s="232" t="s">
        <v>4</v>
      </c>
      <c r="B10" s="232"/>
      <c r="C10" s="232"/>
      <c r="D10" s="76"/>
      <c r="E10" s="76"/>
      <c r="F10" s="72"/>
      <c r="G10" s="72"/>
      <c r="H10" s="72"/>
      <c r="I10" s="72"/>
      <c r="J10" s="72"/>
      <c r="K10" s="72"/>
      <c r="L10" s="72"/>
      <c r="M10" s="72"/>
      <c r="N10" s="72"/>
      <c r="O10" s="72"/>
      <c r="P10" s="72"/>
      <c r="Q10" s="72"/>
      <c r="R10" s="72"/>
      <c r="S10" s="72"/>
    </row>
    <row r="11" spans="1:27" s="2" customFormat="1" ht="18.75" x14ac:dyDescent="0.2">
      <c r="A11" s="230"/>
      <c r="B11" s="230"/>
      <c r="C11" s="230"/>
      <c r="D11" s="107"/>
      <c r="E11" s="107"/>
      <c r="F11" s="72"/>
      <c r="G11" s="72"/>
      <c r="H11" s="72"/>
      <c r="I11" s="72"/>
      <c r="J11" s="72"/>
      <c r="K11" s="72"/>
      <c r="L11" s="72"/>
      <c r="M11" s="72"/>
      <c r="N11" s="72"/>
      <c r="O11" s="72"/>
      <c r="P11" s="72"/>
      <c r="Q11" s="72"/>
      <c r="R11" s="72"/>
      <c r="S11" s="72"/>
    </row>
    <row r="12" spans="1:27" s="2" customFormat="1" ht="18.75" x14ac:dyDescent="0.2">
      <c r="A12" s="231" t="str">
        <f>'1. паспорт местоположение'!A12:C12</f>
        <v>O_Che477_24</v>
      </c>
      <c r="B12" s="231"/>
      <c r="C12" s="231"/>
      <c r="D12" s="75"/>
      <c r="E12" s="75"/>
      <c r="F12" s="72"/>
      <c r="G12" s="72"/>
      <c r="H12" s="72"/>
      <c r="I12" s="72"/>
      <c r="J12" s="72"/>
      <c r="K12" s="72"/>
      <c r="L12" s="72"/>
      <c r="M12" s="72"/>
      <c r="N12" s="72"/>
      <c r="O12" s="72"/>
      <c r="P12" s="72"/>
      <c r="Q12" s="72"/>
      <c r="R12" s="72"/>
      <c r="S12" s="72"/>
    </row>
    <row r="13" spans="1:27" s="2" customFormat="1" ht="18.75" x14ac:dyDescent="0.2">
      <c r="A13" s="232" t="s">
        <v>3</v>
      </c>
      <c r="B13" s="232"/>
      <c r="C13" s="232"/>
      <c r="D13" s="76"/>
      <c r="E13" s="76"/>
      <c r="F13" s="72"/>
      <c r="G13" s="72"/>
      <c r="H13" s="72"/>
      <c r="I13" s="72"/>
      <c r="J13" s="72"/>
      <c r="K13" s="72"/>
      <c r="L13" s="72"/>
      <c r="M13" s="72"/>
      <c r="N13" s="72"/>
      <c r="O13" s="72"/>
      <c r="P13" s="72"/>
      <c r="Q13" s="72"/>
      <c r="R13" s="72"/>
      <c r="S13" s="72"/>
    </row>
    <row r="14" spans="1:27" s="108" customFormat="1" ht="15.75" customHeight="1" x14ac:dyDescent="0.2">
      <c r="A14" s="247"/>
      <c r="B14" s="247"/>
      <c r="C14" s="247"/>
      <c r="D14" s="63"/>
      <c r="E14" s="63"/>
      <c r="F14" s="63"/>
      <c r="G14" s="63"/>
      <c r="H14" s="63"/>
      <c r="I14" s="63"/>
      <c r="J14" s="63"/>
      <c r="K14" s="63"/>
      <c r="L14" s="63"/>
      <c r="M14" s="63"/>
      <c r="N14" s="63"/>
      <c r="O14" s="63"/>
      <c r="P14" s="63"/>
      <c r="Q14" s="63"/>
      <c r="R14" s="63"/>
      <c r="S14" s="63"/>
    </row>
    <row r="15" spans="1:27" s="109" customFormat="1" ht="36.75" customHeight="1" x14ac:dyDescent="0.2">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233"/>
      <c r="D15" s="75"/>
      <c r="E15" s="75"/>
      <c r="F15" s="75"/>
      <c r="G15" s="75"/>
      <c r="H15" s="75"/>
      <c r="I15" s="75"/>
      <c r="J15" s="75"/>
      <c r="K15" s="75"/>
      <c r="L15" s="75"/>
      <c r="M15" s="75"/>
      <c r="N15" s="75"/>
      <c r="O15" s="75"/>
      <c r="P15" s="75"/>
      <c r="Q15" s="75"/>
      <c r="R15" s="75"/>
      <c r="S15" s="75"/>
    </row>
    <row r="16" spans="1:27" s="109" customFormat="1" ht="15" customHeight="1" x14ac:dyDescent="0.2">
      <c r="A16" s="232" t="s">
        <v>2</v>
      </c>
      <c r="B16" s="232"/>
      <c r="C16" s="232"/>
      <c r="D16" s="76"/>
      <c r="E16" s="76"/>
      <c r="F16" s="76"/>
      <c r="G16" s="76"/>
      <c r="H16" s="76"/>
      <c r="I16" s="76"/>
      <c r="J16" s="76"/>
      <c r="K16" s="76"/>
      <c r="L16" s="76"/>
      <c r="M16" s="76"/>
      <c r="N16" s="76"/>
      <c r="O16" s="76"/>
      <c r="P16" s="76"/>
      <c r="Q16" s="76"/>
      <c r="R16" s="76"/>
      <c r="S16" s="76"/>
    </row>
    <row r="17" spans="1:19" s="109" customFormat="1" ht="15" customHeight="1" x14ac:dyDescent="0.2">
      <c r="A17" s="248"/>
      <c r="B17" s="248"/>
      <c r="C17" s="248"/>
      <c r="D17" s="110"/>
      <c r="E17" s="110"/>
      <c r="F17" s="110"/>
      <c r="G17" s="110"/>
      <c r="H17" s="110"/>
      <c r="I17" s="110"/>
      <c r="J17" s="110"/>
      <c r="K17" s="110"/>
      <c r="L17" s="110"/>
      <c r="M17" s="110"/>
      <c r="N17" s="110"/>
      <c r="O17" s="110"/>
      <c r="P17" s="110"/>
    </row>
    <row r="18" spans="1:19" s="109" customFormat="1" ht="27.75" customHeight="1" x14ac:dyDescent="0.2">
      <c r="A18" s="265" t="s">
        <v>237</v>
      </c>
      <c r="B18" s="265"/>
      <c r="C18" s="265"/>
      <c r="D18" s="111"/>
      <c r="E18" s="111"/>
      <c r="F18" s="111"/>
      <c r="G18" s="111"/>
      <c r="H18" s="111"/>
      <c r="I18" s="111"/>
      <c r="J18" s="111"/>
      <c r="K18" s="111"/>
      <c r="L18" s="111"/>
      <c r="M18" s="111"/>
      <c r="N18" s="111"/>
      <c r="O18" s="111"/>
      <c r="P18" s="111"/>
      <c r="Q18" s="111"/>
      <c r="R18" s="111"/>
      <c r="S18" s="111"/>
    </row>
    <row r="19" spans="1:19" s="109" customFormat="1" ht="15" customHeight="1" x14ac:dyDescent="0.2">
      <c r="A19" s="76"/>
      <c r="B19" s="76"/>
      <c r="C19" s="76"/>
      <c r="D19" s="76"/>
      <c r="E19" s="76"/>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3"/>
      <c r="G20" s="63"/>
      <c r="H20" s="63"/>
      <c r="I20" s="63"/>
      <c r="J20" s="63"/>
      <c r="K20" s="63"/>
      <c r="L20" s="63"/>
      <c r="M20" s="63"/>
      <c r="N20" s="63"/>
      <c r="O20" s="63"/>
      <c r="P20" s="63"/>
      <c r="Q20" s="116"/>
      <c r="R20" s="116"/>
      <c r="S20" s="116"/>
    </row>
    <row r="21" spans="1:19" s="109" customFormat="1" ht="16.5" customHeight="1" x14ac:dyDescent="0.2">
      <c r="A21" s="114">
        <v>1</v>
      </c>
      <c r="B21" s="113">
        <v>2</v>
      </c>
      <c r="C21" s="114">
        <v>3</v>
      </c>
      <c r="D21" s="115"/>
      <c r="E21" s="115"/>
      <c r="F21" s="63"/>
      <c r="G21" s="63"/>
      <c r="H21" s="63"/>
      <c r="I21" s="63"/>
      <c r="J21" s="63"/>
      <c r="K21" s="63"/>
      <c r="L21" s="63"/>
      <c r="M21" s="63"/>
      <c r="N21" s="63"/>
      <c r="O21" s="63"/>
      <c r="P21" s="63"/>
      <c r="Q21" s="116"/>
      <c r="R21" s="116"/>
      <c r="S21" s="116"/>
    </row>
    <row r="22" spans="1:19" s="109" customFormat="1" ht="39.6" customHeight="1" x14ac:dyDescent="0.2">
      <c r="A22" s="3" t="s">
        <v>18</v>
      </c>
      <c r="B22" s="4" t="s">
        <v>241</v>
      </c>
      <c r="C22" s="51" t="s">
        <v>468</v>
      </c>
      <c r="D22" s="63"/>
      <c r="E22" s="63"/>
      <c r="F22" s="63"/>
      <c r="G22" s="63"/>
      <c r="H22" s="63"/>
      <c r="I22" s="63"/>
      <c r="J22" s="63"/>
      <c r="K22" s="63"/>
      <c r="L22" s="63"/>
      <c r="M22" s="63"/>
      <c r="N22" s="63"/>
      <c r="O22" s="116"/>
      <c r="P22" s="116"/>
      <c r="Q22" s="116"/>
      <c r="R22" s="116"/>
      <c r="S22" s="116"/>
    </row>
    <row r="23" spans="1:19" ht="39.75" customHeight="1" x14ac:dyDescent="0.25">
      <c r="A23" s="3" t="s">
        <v>17</v>
      </c>
      <c r="B23" s="117" t="s">
        <v>14</v>
      </c>
      <c r="C23" s="51" t="s">
        <v>473</v>
      </c>
      <c r="D23" s="96"/>
      <c r="E23" s="96"/>
      <c r="F23" s="96"/>
      <c r="G23" s="96"/>
      <c r="H23" s="96"/>
      <c r="I23" s="96"/>
      <c r="J23" s="96"/>
      <c r="K23" s="96"/>
      <c r="L23" s="96"/>
      <c r="M23" s="96"/>
      <c r="N23" s="96"/>
      <c r="O23" s="96"/>
      <c r="P23" s="96"/>
      <c r="Q23" s="96"/>
      <c r="R23" s="96"/>
      <c r="S23" s="96"/>
    </row>
    <row r="24" spans="1:19" ht="54.75" customHeight="1" x14ac:dyDescent="0.25">
      <c r="A24" s="3" t="s">
        <v>16</v>
      </c>
      <c r="B24" s="117" t="s">
        <v>246</v>
      </c>
      <c r="C24" s="164" t="s">
        <v>472</v>
      </c>
      <c r="D24" s="96"/>
      <c r="E24" s="96"/>
      <c r="F24" s="96"/>
      <c r="G24" s="96"/>
      <c r="H24" s="96"/>
      <c r="I24" s="96"/>
      <c r="J24" s="96"/>
      <c r="K24" s="96"/>
      <c r="L24" s="96"/>
      <c r="M24" s="96"/>
      <c r="N24" s="96"/>
      <c r="O24" s="96"/>
      <c r="P24" s="96"/>
      <c r="Q24" s="96"/>
      <c r="R24" s="96"/>
      <c r="S24" s="96"/>
    </row>
    <row r="25" spans="1:19" ht="34.5" customHeight="1" x14ac:dyDescent="0.25">
      <c r="A25" s="3" t="s">
        <v>15</v>
      </c>
      <c r="B25" s="117" t="s">
        <v>247</v>
      </c>
      <c r="C25" s="118" t="s">
        <v>314</v>
      </c>
      <c r="D25" s="96"/>
      <c r="E25" s="96"/>
      <c r="F25" s="96"/>
      <c r="G25" s="96"/>
      <c r="H25" s="96"/>
      <c r="I25" s="96"/>
      <c r="J25" s="96"/>
      <c r="K25" s="96"/>
      <c r="L25" s="96"/>
      <c r="M25" s="96"/>
      <c r="N25" s="96"/>
      <c r="O25" s="96"/>
      <c r="P25" s="96"/>
      <c r="Q25" s="96"/>
      <c r="R25" s="96"/>
      <c r="S25" s="96"/>
    </row>
    <row r="26" spans="1:19" ht="34.5" customHeight="1" x14ac:dyDescent="0.25">
      <c r="A26" s="3" t="s">
        <v>13</v>
      </c>
      <c r="B26" s="117" t="s">
        <v>137</v>
      </c>
      <c r="C26" s="112" t="s">
        <v>329</v>
      </c>
      <c r="D26" s="96"/>
      <c r="E26" s="96"/>
      <c r="F26" s="96"/>
      <c r="G26" s="96"/>
      <c r="H26" s="96"/>
      <c r="I26" s="96"/>
      <c r="J26" s="96"/>
      <c r="K26" s="96"/>
      <c r="L26" s="96"/>
      <c r="M26" s="96"/>
      <c r="N26" s="96"/>
      <c r="O26" s="96"/>
      <c r="P26" s="96"/>
      <c r="Q26" s="96"/>
      <c r="R26" s="96"/>
      <c r="S26" s="96"/>
    </row>
    <row r="27" spans="1:19" ht="38.25" customHeight="1" x14ac:dyDescent="0.25">
      <c r="A27" s="3" t="s">
        <v>12</v>
      </c>
      <c r="B27" s="117" t="s">
        <v>242</v>
      </c>
      <c r="C27" s="112" t="s">
        <v>469</v>
      </c>
      <c r="D27" s="96"/>
      <c r="E27" s="96"/>
      <c r="F27" s="96"/>
      <c r="G27" s="96"/>
      <c r="H27" s="96"/>
      <c r="I27" s="96"/>
      <c r="J27" s="96"/>
      <c r="K27" s="96"/>
      <c r="L27" s="96"/>
      <c r="M27" s="96"/>
      <c r="N27" s="96"/>
      <c r="O27" s="96"/>
      <c r="P27" s="96"/>
      <c r="Q27" s="96"/>
      <c r="R27" s="96"/>
      <c r="S27" s="96"/>
    </row>
    <row r="28" spans="1:19" ht="28.5" customHeight="1" x14ac:dyDescent="0.25">
      <c r="A28" s="3" t="s">
        <v>10</v>
      </c>
      <c r="B28" s="117" t="s">
        <v>11</v>
      </c>
      <c r="C28" s="57">
        <v>2024</v>
      </c>
      <c r="D28" s="96"/>
      <c r="E28" s="96"/>
      <c r="F28" s="96"/>
      <c r="G28" s="96"/>
      <c r="H28" s="96"/>
      <c r="I28" s="96"/>
      <c r="J28" s="96"/>
      <c r="K28" s="96"/>
      <c r="L28" s="96"/>
      <c r="M28" s="96"/>
      <c r="N28" s="96"/>
      <c r="O28" s="96"/>
      <c r="P28" s="96"/>
      <c r="Q28" s="96"/>
      <c r="R28" s="96"/>
      <c r="S28" s="96"/>
    </row>
    <row r="29" spans="1:19" ht="33" customHeight="1" x14ac:dyDescent="0.25">
      <c r="A29" s="3" t="s">
        <v>8</v>
      </c>
      <c r="B29" s="112" t="s">
        <v>9</v>
      </c>
      <c r="C29" s="57">
        <v>2024</v>
      </c>
      <c r="D29" s="96"/>
      <c r="E29" s="96"/>
      <c r="F29" s="96"/>
      <c r="G29" s="96"/>
      <c r="H29" s="96"/>
      <c r="I29" s="96"/>
      <c r="J29" s="96"/>
      <c r="K29" s="96"/>
      <c r="L29" s="96"/>
      <c r="M29" s="96"/>
      <c r="N29" s="96"/>
      <c r="O29" s="96"/>
      <c r="P29" s="96"/>
      <c r="Q29" s="96"/>
      <c r="R29" s="96"/>
      <c r="S29" s="96"/>
    </row>
    <row r="30" spans="1:19" ht="38.25" customHeight="1" x14ac:dyDescent="0.25">
      <c r="A30" s="3" t="s">
        <v>26</v>
      </c>
      <c r="B30" s="112" t="s">
        <v>7</v>
      </c>
      <c r="C30" s="57" t="s">
        <v>470</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A15" sqref="A15:Z15"/>
    </sheetView>
  </sheetViews>
  <sheetFormatPr defaultColWidth="9.140625" defaultRowHeight="15" x14ac:dyDescent="0.25"/>
  <cols>
    <col min="1" max="1" width="17.7109375" style="82" customWidth="1"/>
    <col min="2" max="2" width="30.140625" style="82" customWidth="1"/>
    <col min="3" max="3" width="12.28515625" style="82" customWidth="1"/>
    <col min="4" max="5" width="15" style="82" customWidth="1"/>
    <col min="6" max="7" width="13.28515625" style="82" customWidth="1"/>
    <col min="8" max="8" width="12.28515625" style="82" customWidth="1"/>
    <col min="9" max="9" width="17.85546875" style="82" customWidth="1"/>
    <col min="10" max="10" width="16.7109375" style="82" customWidth="1"/>
    <col min="11" max="11" width="24.5703125" style="82" customWidth="1"/>
    <col min="12" max="12" width="30.85546875" style="82" customWidth="1"/>
    <col min="13" max="13" width="27.140625" style="82" customWidth="1"/>
    <col min="14" max="14" width="32.42578125" style="82" customWidth="1"/>
    <col min="15" max="15" width="13.28515625" style="82" hidden="1" customWidth="1"/>
    <col min="16" max="16" width="8.7109375" style="82" hidden="1" customWidth="1"/>
    <col min="17" max="17" width="12.7109375" style="82" hidden="1" customWidth="1"/>
    <col min="18" max="18" width="0" style="82" hidden="1" customWidth="1"/>
    <col min="19" max="19" width="17" style="82" hidden="1" customWidth="1"/>
    <col min="20" max="21" width="12" style="82" hidden="1" customWidth="1"/>
    <col min="22" max="22" width="11" style="82" hidden="1" customWidth="1"/>
    <col min="23" max="25" width="17.7109375" style="82" hidden="1" customWidth="1"/>
    <col min="26" max="26" width="46.5703125" style="82" hidden="1" customWidth="1"/>
    <col min="27" max="28" width="12.28515625" style="82" customWidth="1"/>
    <col min="29" max="16384" width="9.140625" style="82"/>
  </cols>
  <sheetData>
    <row r="1" spans="1:28" ht="18.75" x14ac:dyDescent="0.25">
      <c r="Z1" s="32" t="s">
        <v>22</v>
      </c>
    </row>
    <row r="2" spans="1:28" ht="18.75" x14ac:dyDescent="0.3">
      <c r="Z2" s="33" t="s">
        <v>6</v>
      </c>
    </row>
    <row r="3" spans="1:28" ht="18.75" x14ac:dyDescent="0.3">
      <c r="Z3" s="33" t="s">
        <v>21</v>
      </c>
    </row>
    <row r="4" spans="1:28" ht="18.75" customHeight="1" x14ac:dyDescent="0.25">
      <c r="A4" s="226" t="str">
        <f>'1. паспорт местоположение'!$A$5</f>
        <v>Год раскрытия информации: 2025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5" t="s">
        <v>5</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83"/>
      <c r="AB6" s="83"/>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83"/>
      <c r="AB7" s="83"/>
    </row>
    <row r="8" spans="1:28" ht="18.75" x14ac:dyDescent="0.25">
      <c r="A8" s="236" t="s">
        <v>251</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85"/>
      <c r="AB8" s="85"/>
    </row>
    <row r="9" spans="1:28" ht="15.75" x14ac:dyDescent="0.25">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87"/>
      <c r="AB9" s="87"/>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83"/>
      <c r="AB10" s="83"/>
    </row>
    <row r="11" spans="1:28" ht="18.75" x14ac:dyDescent="0.25">
      <c r="A11" s="236" t="str">
        <f>'1. паспорт местоположение'!A12:C12</f>
        <v>O_Che477_24</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85"/>
      <c r="AB11" s="85"/>
    </row>
    <row r="12" spans="1:28" ht="15.75" x14ac:dyDescent="0.25">
      <c r="A12" s="239" t="s">
        <v>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87"/>
      <c r="AB12" s="87"/>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98"/>
      <c r="AB13" s="98"/>
    </row>
    <row r="14" spans="1:28" ht="18.75" x14ac:dyDescent="0.25">
      <c r="A14" s="250" t="str">
        <f>'1. паспорт местоположение'!A15:C15</f>
        <v>Приобретение оборудования для намотки кабеля на барабан УПК-25-РЧ-003 (Перемоточное устройство с электроприв.и РКУ)</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85"/>
      <c r="AB14" s="85"/>
    </row>
    <row r="15" spans="1:28" ht="15.75" x14ac:dyDescent="0.25">
      <c r="A15" s="239" t="s">
        <v>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87"/>
      <c r="AB15" s="87"/>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42"/>
      <c r="AB21" s="42"/>
    </row>
    <row r="22" spans="1:28" x14ac:dyDescent="0.25">
      <c r="A22" s="273" t="s">
        <v>330</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43"/>
      <c r="AB22" s="43"/>
    </row>
    <row r="23" spans="1:28" ht="43.5" customHeight="1" x14ac:dyDescent="0.25">
      <c r="A23" s="266" t="s">
        <v>331</v>
      </c>
      <c r="B23" s="267"/>
      <c r="C23" s="267"/>
      <c r="D23" s="267"/>
      <c r="E23" s="267"/>
      <c r="F23" s="267"/>
      <c r="G23" s="267"/>
      <c r="H23" s="267"/>
      <c r="I23" s="267"/>
      <c r="J23" s="267"/>
      <c r="K23" s="267"/>
      <c r="L23" s="268"/>
      <c r="M23" s="269" t="s">
        <v>332</v>
      </c>
      <c r="N23" s="270"/>
      <c r="O23" s="270"/>
      <c r="P23" s="270"/>
      <c r="Q23" s="270"/>
      <c r="R23" s="270"/>
      <c r="S23" s="270"/>
      <c r="T23" s="270"/>
      <c r="U23" s="270"/>
      <c r="V23" s="270"/>
      <c r="W23" s="270"/>
      <c r="X23" s="270"/>
      <c r="Y23" s="270"/>
      <c r="Z23" s="271"/>
    </row>
    <row r="24" spans="1:28" ht="151.5" customHeight="1" x14ac:dyDescent="0.25">
      <c r="A24" s="99" t="s">
        <v>333</v>
      </c>
      <c r="B24" s="100" t="s">
        <v>334</v>
      </c>
      <c r="C24" s="99" t="s">
        <v>335</v>
      </c>
      <c r="D24" s="99" t="s">
        <v>336</v>
      </c>
      <c r="E24" s="99" t="s">
        <v>337</v>
      </c>
      <c r="F24" s="99" t="s">
        <v>338</v>
      </c>
      <c r="G24" s="99" t="s">
        <v>339</v>
      </c>
      <c r="H24" s="99" t="s">
        <v>340</v>
      </c>
      <c r="I24" s="99" t="s">
        <v>341</v>
      </c>
      <c r="J24" s="99" t="s">
        <v>342</v>
      </c>
      <c r="K24" s="100" t="s">
        <v>343</v>
      </c>
      <c r="L24" s="100" t="s">
        <v>344</v>
      </c>
      <c r="M24" s="101" t="s">
        <v>345</v>
      </c>
      <c r="N24" s="100" t="s">
        <v>346</v>
      </c>
      <c r="O24" s="99" t="s">
        <v>347</v>
      </c>
      <c r="P24" s="99" t="s">
        <v>348</v>
      </c>
      <c r="Q24" s="99" t="s">
        <v>349</v>
      </c>
      <c r="R24" s="99" t="s">
        <v>340</v>
      </c>
      <c r="S24" s="99" t="s">
        <v>350</v>
      </c>
      <c r="T24" s="99" t="s">
        <v>351</v>
      </c>
      <c r="U24" s="99" t="s">
        <v>352</v>
      </c>
      <c r="V24" s="99" t="s">
        <v>349</v>
      </c>
      <c r="W24" s="102" t="s">
        <v>353</v>
      </c>
      <c r="X24" s="102" t="s">
        <v>354</v>
      </c>
      <c r="Y24" s="102" t="s">
        <v>355</v>
      </c>
      <c r="Z24" s="44" t="s">
        <v>356</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357</v>
      </c>
      <c r="B26" s="19"/>
      <c r="C26" s="45" t="s">
        <v>358</v>
      </c>
      <c r="D26" s="45" t="s">
        <v>359</v>
      </c>
      <c r="E26" s="45" t="s">
        <v>360</v>
      </c>
      <c r="F26" s="45" t="s">
        <v>361</v>
      </c>
      <c r="G26" s="45" t="s">
        <v>362</v>
      </c>
      <c r="H26" s="45" t="s">
        <v>340</v>
      </c>
      <c r="I26" s="45" t="s">
        <v>363</v>
      </c>
      <c r="J26" s="45" t="s">
        <v>364</v>
      </c>
      <c r="K26" s="103"/>
      <c r="L26" s="45" t="s">
        <v>365</v>
      </c>
      <c r="M26" s="46" t="s">
        <v>366</v>
      </c>
      <c r="N26" s="103" t="s">
        <v>314</v>
      </c>
      <c r="O26" s="103" t="s">
        <v>314</v>
      </c>
      <c r="P26" s="103" t="s">
        <v>314</v>
      </c>
      <c r="Q26" s="103" t="s">
        <v>314</v>
      </c>
      <c r="R26" s="103" t="s">
        <v>314</v>
      </c>
      <c r="S26" s="103" t="s">
        <v>314</v>
      </c>
      <c r="T26" s="103" t="s">
        <v>314</v>
      </c>
      <c r="U26" s="103" t="s">
        <v>314</v>
      </c>
      <c r="V26" s="103" t="s">
        <v>314</v>
      </c>
      <c r="W26" s="103" t="s">
        <v>314</v>
      </c>
      <c r="X26" s="103" t="s">
        <v>314</v>
      </c>
      <c r="Y26" s="103" t="s">
        <v>314</v>
      </c>
      <c r="Z26" s="104" t="s">
        <v>367</v>
      </c>
    </row>
    <row r="27" spans="1:28" x14ac:dyDescent="0.25">
      <c r="A27" s="103" t="s">
        <v>368</v>
      </c>
      <c r="B27" s="103" t="s">
        <v>369</v>
      </c>
      <c r="C27" s="103" t="s">
        <v>314</v>
      </c>
      <c r="D27" s="103" t="s">
        <v>314</v>
      </c>
      <c r="E27" s="103" t="s">
        <v>314</v>
      </c>
      <c r="F27" s="103" t="s">
        <v>314</v>
      </c>
      <c r="G27" s="103" t="s">
        <v>314</v>
      </c>
      <c r="H27" s="103" t="s">
        <v>314</v>
      </c>
      <c r="I27" s="103" t="s">
        <v>314</v>
      </c>
      <c r="J27" s="103" t="s">
        <v>314</v>
      </c>
      <c r="K27" s="45" t="s">
        <v>370</v>
      </c>
      <c r="L27" s="103" t="s">
        <v>314</v>
      </c>
      <c r="M27" s="103" t="s">
        <v>314</v>
      </c>
      <c r="N27" s="103" t="s">
        <v>314</v>
      </c>
      <c r="O27" s="103" t="s">
        <v>314</v>
      </c>
      <c r="P27" s="103" t="s">
        <v>314</v>
      </c>
      <c r="Q27" s="103" t="s">
        <v>314</v>
      </c>
      <c r="R27" s="103" t="s">
        <v>314</v>
      </c>
      <c r="S27" s="103" t="s">
        <v>314</v>
      </c>
      <c r="T27" s="103" t="s">
        <v>314</v>
      </c>
      <c r="U27" s="103" t="s">
        <v>314</v>
      </c>
      <c r="V27" s="103" t="s">
        <v>314</v>
      </c>
      <c r="W27" s="103" t="s">
        <v>314</v>
      </c>
      <c r="X27" s="103" t="s">
        <v>314</v>
      </c>
      <c r="Y27" s="103" t="s">
        <v>314</v>
      </c>
      <c r="Z27" s="103" t="s">
        <v>314</v>
      </c>
    </row>
    <row r="28" spans="1:28" x14ac:dyDescent="0.25">
      <c r="A28" s="103" t="s">
        <v>368</v>
      </c>
      <c r="B28" s="103" t="s">
        <v>371</v>
      </c>
      <c r="C28" s="103" t="s">
        <v>314</v>
      </c>
      <c r="D28" s="103" t="s">
        <v>314</v>
      </c>
      <c r="E28" s="103" t="s">
        <v>314</v>
      </c>
      <c r="F28" s="103" t="s">
        <v>314</v>
      </c>
      <c r="G28" s="103" t="s">
        <v>314</v>
      </c>
      <c r="H28" s="103" t="s">
        <v>314</v>
      </c>
      <c r="I28" s="103" t="s">
        <v>314</v>
      </c>
      <c r="J28" s="103" t="s">
        <v>314</v>
      </c>
      <c r="K28" s="45" t="s">
        <v>372</v>
      </c>
      <c r="L28" s="103" t="s">
        <v>314</v>
      </c>
      <c r="M28" s="103" t="s">
        <v>314</v>
      </c>
      <c r="N28" s="103" t="s">
        <v>314</v>
      </c>
      <c r="O28" s="103" t="s">
        <v>314</v>
      </c>
      <c r="P28" s="103" t="s">
        <v>314</v>
      </c>
      <c r="Q28" s="103" t="s">
        <v>314</v>
      </c>
      <c r="R28" s="103" t="s">
        <v>314</v>
      </c>
      <c r="S28" s="103" t="s">
        <v>314</v>
      </c>
      <c r="T28" s="103" t="s">
        <v>314</v>
      </c>
      <c r="U28" s="103" t="s">
        <v>314</v>
      </c>
      <c r="V28" s="103" t="s">
        <v>314</v>
      </c>
      <c r="W28" s="103" t="s">
        <v>314</v>
      </c>
      <c r="X28" s="103" t="s">
        <v>314</v>
      </c>
      <c r="Y28" s="103" t="s">
        <v>314</v>
      </c>
      <c r="Z28" s="103" t="s">
        <v>314</v>
      </c>
    </row>
    <row r="29" spans="1:28" x14ac:dyDescent="0.25">
      <c r="A29" s="103" t="s">
        <v>368</v>
      </c>
      <c r="B29" s="103" t="s">
        <v>374</v>
      </c>
      <c r="C29" s="103" t="s">
        <v>314</v>
      </c>
      <c r="D29" s="103" t="s">
        <v>314</v>
      </c>
      <c r="E29" s="103" t="s">
        <v>314</v>
      </c>
      <c r="F29" s="103" t="s">
        <v>314</v>
      </c>
      <c r="G29" s="103" t="s">
        <v>314</v>
      </c>
      <c r="H29" s="103" t="s">
        <v>314</v>
      </c>
      <c r="I29" s="103" t="s">
        <v>314</v>
      </c>
      <c r="J29" s="103" t="s">
        <v>314</v>
      </c>
      <c r="K29" s="45" t="s">
        <v>375</v>
      </c>
      <c r="L29" s="103" t="s">
        <v>314</v>
      </c>
      <c r="M29" s="103" t="s">
        <v>314</v>
      </c>
      <c r="N29" s="103" t="s">
        <v>314</v>
      </c>
      <c r="O29" s="103" t="s">
        <v>314</v>
      </c>
      <c r="P29" s="103" t="s">
        <v>314</v>
      </c>
      <c r="Q29" s="103" t="s">
        <v>314</v>
      </c>
      <c r="R29" s="103" t="s">
        <v>314</v>
      </c>
      <c r="S29" s="103" t="s">
        <v>314</v>
      </c>
      <c r="T29" s="103" t="s">
        <v>314</v>
      </c>
      <c r="U29" s="103" t="s">
        <v>314</v>
      </c>
      <c r="V29" s="103" t="s">
        <v>314</v>
      </c>
      <c r="W29" s="103" t="s">
        <v>314</v>
      </c>
      <c r="X29" s="103" t="s">
        <v>314</v>
      </c>
      <c r="Y29" s="103" t="s">
        <v>314</v>
      </c>
      <c r="Z29" s="103" t="s">
        <v>314</v>
      </c>
    </row>
    <row r="30" spans="1:28" x14ac:dyDescent="0.25">
      <c r="A30" s="103" t="s">
        <v>368</v>
      </c>
      <c r="B30" s="103" t="s">
        <v>376</v>
      </c>
      <c r="C30" s="103" t="s">
        <v>314</v>
      </c>
      <c r="D30" s="103" t="s">
        <v>314</v>
      </c>
      <c r="E30" s="103" t="s">
        <v>314</v>
      </c>
      <c r="F30" s="103" t="s">
        <v>314</v>
      </c>
      <c r="G30" s="103" t="s">
        <v>314</v>
      </c>
      <c r="H30" s="103" t="s">
        <v>314</v>
      </c>
      <c r="I30" s="103" t="s">
        <v>314</v>
      </c>
      <c r="J30" s="103" t="s">
        <v>314</v>
      </c>
      <c r="K30" s="45" t="s">
        <v>377</v>
      </c>
      <c r="L30" s="103" t="s">
        <v>314</v>
      </c>
      <c r="M30" s="103" t="s">
        <v>314</v>
      </c>
      <c r="N30" s="103" t="s">
        <v>314</v>
      </c>
      <c r="O30" s="103" t="s">
        <v>314</v>
      </c>
      <c r="P30" s="103" t="s">
        <v>314</v>
      </c>
      <c r="Q30" s="103" t="s">
        <v>314</v>
      </c>
      <c r="R30" s="103" t="s">
        <v>314</v>
      </c>
      <c r="S30" s="103" t="s">
        <v>314</v>
      </c>
      <c r="T30" s="103" t="s">
        <v>314</v>
      </c>
      <c r="U30" s="103" t="s">
        <v>314</v>
      </c>
      <c r="V30" s="103" t="s">
        <v>314</v>
      </c>
      <c r="W30" s="103" t="s">
        <v>314</v>
      </c>
      <c r="X30" s="103" t="s">
        <v>314</v>
      </c>
      <c r="Y30" s="103" t="s">
        <v>314</v>
      </c>
      <c r="Z30" s="103" t="s">
        <v>314</v>
      </c>
    </row>
    <row r="31" spans="1:28" x14ac:dyDescent="0.25">
      <c r="A31" s="103" t="s">
        <v>373</v>
      </c>
      <c r="B31" s="103" t="s">
        <v>373</v>
      </c>
      <c r="C31" s="103" t="s">
        <v>373</v>
      </c>
      <c r="D31" s="103" t="s">
        <v>373</v>
      </c>
      <c r="E31" s="103" t="s">
        <v>373</v>
      </c>
      <c r="F31" s="103" t="s">
        <v>373</v>
      </c>
      <c r="G31" s="103" t="s">
        <v>373</v>
      </c>
      <c r="H31" s="103" t="s">
        <v>373</v>
      </c>
      <c r="I31" s="103" t="s">
        <v>373</v>
      </c>
      <c r="J31" s="103" t="s">
        <v>373</v>
      </c>
      <c r="K31" s="103" t="s">
        <v>373</v>
      </c>
      <c r="L31" s="103" t="s">
        <v>314</v>
      </c>
      <c r="M31" s="103" t="s">
        <v>314</v>
      </c>
      <c r="N31" s="103" t="s">
        <v>314</v>
      </c>
      <c r="O31" s="103" t="s">
        <v>314</v>
      </c>
      <c r="P31" s="103" t="s">
        <v>314</v>
      </c>
      <c r="Q31" s="103" t="s">
        <v>314</v>
      </c>
      <c r="R31" s="103" t="s">
        <v>314</v>
      </c>
      <c r="S31" s="103" t="s">
        <v>314</v>
      </c>
      <c r="T31" s="103" t="s">
        <v>314</v>
      </c>
      <c r="U31" s="103" t="s">
        <v>314</v>
      </c>
      <c r="V31" s="103" t="s">
        <v>314</v>
      </c>
      <c r="W31" s="103" t="s">
        <v>314</v>
      </c>
      <c r="X31" s="103" t="s">
        <v>314</v>
      </c>
      <c r="Y31" s="103" t="s">
        <v>314</v>
      </c>
      <c r="Z31" s="103" t="s">
        <v>314</v>
      </c>
    </row>
    <row r="32" spans="1:28" ht="30" x14ac:dyDescent="0.25">
      <c r="A32" s="19" t="s">
        <v>357</v>
      </c>
      <c r="B32" s="19"/>
      <c r="C32" s="45" t="s">
        <v>378</v>
      </c>
      <c r="D32" s="45" t="s">
        <v>379</v>
      </c>
      <c r="E32" s="45" t="s">
        <v>380</v>
      </c>
      <c r="F32" s="45" t="s">
        <v>381</v>
      </c>
      <c r="G32" s="45" t="s">
        <v>382</v>
      </c>
      <c r="H32" s="45" t="s">
        <v>340</v>
      </c>
      <c r="I32" s="45" t="s">
        <v>383</v>
      </c>
      <c r="J32" s="45" t="s">
        <v>384</v>
      </c>
      <c r="K32" s="103"/>
      <c r="L32" s="103" t="s">
        <v>314</v>
      </c>
      <c r="M32" s="103" t="s">
        <v>314</v>
      </c>
      <c r="N32" s="103" t="s">
        <v>314</v>
      </c>
      <c r="O32" s="103" t="s">
        <v>314</v>
      </c>
      <c r="P32" s="103" t="s">
        <v>314</v>
      </c>
      <c r="Q32" s="103" t="s">
        <v>314</v>
      </c>
      <c r="R32" s="103" t="s">
        <v>314</v>
      </c>
      <c r="S32" s="103" t="s">
        <v>314</v>
      </c>
      <c r="T32" s="103" t="s">
        <v>314</v>
      </c>
      <c r="U32" s="103" t="s">
        <v>314</v>
      </c>
      <c r="V32" s="103" t="s">
        <v>314</v>
      </c>
      <c r="W32" s="103" t="s">
        <v>314</v>
      </c>
      <c r="X32" s="103" t="s">
        <v>314</v>
      </c>
      <c r="Y32" s="103" t="s">
        <v>314</v>
      </c>
      <c r="Z32" s="103" t="s">
        <v>314</v>
      </c>
    </row>
    <row r="33" spans="1:26" x14ac:dyDescent="0.25">
      <c r="A33" s="103" t="s">
        <v>373</v>
      </c>
      <c r="B33" s="103" t="s">
        <v>373</v>
      </c>
      <c r="C33" s="103" t="s">
        <v>373</v>
      </c>
      <c r="D33" s="103" t="s">
        <v>373</v>
      </c>
      <c r="E33" s="103" t="s">
        <v>373</v>
      </c>
      <c r="F33" s="103" t="s">
        <v>373</v>
      </c>
      <c r="G33" s="103" t="s">
        <v>373</v>
      </c>
      <c r="H33" s="103" t="s">
        <v>373</v>
      </c>
      <c r="I33" s="103" t="s">
        <v>373</v>
      </c>
      <c r="J33" s="103" t="s">
        <v>373</v>
      </c>
      <c r="K33" s="103" t="s">
        <v>373</v>
      </c>
      <c r="L33" s="103" t="s">
        <v>314</v>
      </c>
      <c r="M33" s="103" t="s">
        <v>314</v>
      </c>
      <c r="N33" s="103" t="s">
        <v>314</v>
      </c>
      <c r="O33" s="103" t="s">
        <v>314</v>
      </c>
      <c r="P33" s="103" t="s">
        <v>314</v>
      </c>
      <c r="Q33" s="103" t="s">
        <v>314</v>
      </c>
      <c r="R33" s="103" t="s">
        <v>314</v>
      </c>
      <c r="S33" s="103" t="s">
        <v>314</v>
      </c>
      <c r="T33" s="103" t="s">
        <v>314</v>
      </c>
      <c r="U33" s="103" t="s">
        <v>314</v>
      </c>
      <c r="V33" s="103" t="s">
        <v>314</v>
      </c>
      <c r="W33" s="103" t="s">
        <v>314</v>
      </c>
      <c r="X33" s="103" t="s">
        <v>314</v>
      </c>
      <c r="Y33" s="103" t="s">
        <v>314</v>
      </c>
      <c r="Z33" s="103" t="s">
        <v>314</v>
      </c>
    </row>
    <row r="37" spans="1:26" x14ac:dyDescent="0.25">
      <c r="A37" s="105"/>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35" sqref="C35"/>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26" t="str">
        <f>'1. паспорт местоположение'!$A$5</f>
        <v>Год раскрытия информации: 2025 год</v>
      </c>
      <c r="B5" s="226"/>
      <c r="C5" s="226"/>
      <c r="D5" s="226"/>
      <c r="E5" s="226"/>
      <c r="F5" s="226"/>
      <c r="G5" s="226"/>
      <c r="H5" s="226"/>
      <c r="I5" s="226"/>
      <c r="J5" s="226"/>
      <c r="K5" s="226"/>
      <c r="L5" s="226"/>
      <c r="M5" s="226"/>
      <c r="N5" s="226"/>
      <c r="O5" s="226"/>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35" t="s">
        <v>5</v>
      </c>
      <c r="B7" s="235"/>
      <c r="C7" s="235"/>
      <c r="D7" s="235"/>
      <c r="E7" s="235"/>
      <c r="F7" s="235"/>
      <c r="G7" s="235"/>
      <c r="H7" s="235"/>
      <c r="I7" s="235"/>
      <c r="J7" s="235"/>
      <c r="K7" s="235"/>
      <c r="L7" s="235"/>
      <c r="M7" s="235"/>
      <c r="N7" s="235"/>
      <c r="O7" s="235"/>
      <c r="P7" s="83"/>
      <c r="Q7" s="83"/>
      <c r="R7" s="83"/>
      <c r="S7" s="83"/>
      <c r="T7" s="83"/>
      <c r="U7" s="83"/>
      <c r="V7" s="83"/>
      <c r="W7" s="83"/>
      <c r="X7" s="83"/>
      <c r="Y7" s="83"/>
      <c r="Z7" s="83"/>
    </row>
    <row r="8" spans="1:28" s="31" customFormat="1" ht="18.75" x14ac:dyDescent="0.2">
      <c r="A8" s="235"/>
      <c r="B8" s="235"/>
      <c r="C8" s="235"/>
      <c r="D8" s="235"/>
      <c r="E8" s="235"/>
      <c r="F8" s="235"/>
      <c r="G8" s="235"/>
      <c r="H8" s="235"/>
      <c r="I8" s="235"/>
      <c r="J8" s="235"/>
      <c r="K8" s="235"/>
      <c r="L8" s="235"/>
      <c r="M8" s="235"/>
      <c r="N8" s="235"/>
      <c r="O8" s="235"/>
      <c r="P8" s="83"/>
      <c r="Q8" s="83"/>
      <c r="R8" s="83"/>
      <c r="S8" s="83"/>
      <c r="T8" s="83"/>
      <c r="U8" s="83"/>
      <c r="V8" s="83"/>
      <c r="W8" s="83"/>
      <c r="X8" s="83"/>
      <c r="Y8" s="83"/>
      <c r="Z8" s="83"/>
    </row>
    <row r="9" spans="1:28" s="31" customFormat="1" ht="18.75" x14ac:dyDescent="0.2">
      <c r="A9" s="236" t="s">
        <v>251</v>
      </c>
      <c r="B9" s="236"/>
      <c r="C9" s="236"/>
      <c r="D9" s="236"/>
      <c r="E9" s="236"/>
      <c r="F9" s="236"/>
      <c r="G9" s="236"/>
      <c r="H9" s="236"/>
      <c r="I9" s="236"/>
      <c r="J9" s="236"/>
      <c r="K9" s="236"/>
      <c r="L9" s="236"/>
      <c r="M9" s="236"/>
      <c r="N9" s="236"/>
      <c r="O9" s="236"/>
      <c r="P9" s="83"/>
      <c r="Q9" s="83"/>
      <c r="R9" s="83"/>
      <c r="S9" s="83"/>
      <c r="T9" s="83"/>
      <c r="U9" s="83"/>
      <c r="V9" s="83"/>
      <c r="W9" s="83"/>
      <c r="X9" s="83"/>
      <c r="Y9" s="83"/>
      <c r="Z9" s="83"/>
    </row>
    <row r="10" spans="1:28" s="31" customFormat="1" ht="18.75" x14ac:dyDescent="0.2">
      <c r="A10" s="239" t="s">
        <v>4</v>
      </c>
      <c r="B10" s="239"/>
      <c r="C10" s="239"/>
      <c r="D10" s="239"/>
      <c r="E10" s="239"/>
      <c r="F10" s="239"/>
      <c r="G10" s="239"/>
      <c r="H10" s="239"/>
      <c r="I10" s="239"/>
      <c r="J10" s="239"/>
      <c r="K10" s="239"/>
      <c r="L10" s="239"/>
      <c r="M10" s="239"/>
      <c r="N10" s="239"/>
      <c r="O10" s="239"/>
      <c r="P10" s="83"/>
      <c r="Q10" s="83"/>
      <c r="R10" s="83"/>
      <c r="S10" s="83"/>
      <c r="T10" s="83"/>
      <c r="U10" s="83"/>
      <c r="V10" s="83"/>
      <c r="W10" s="83"/>
      <c r="X10" s="83"/>
      <c r="Y10" s="83"/>
      <c r="Z10" s="83"/>
    </row>
    <row r="11" spans="1:28" s="31" customFormat="1" ht="18.75" x14ac:dyDescent="0.2">
      <c r="A11" s="235"/>
      <c r="B11" s="235"/>
      <c r="C11" s="235"/>
      <c r="D11" s="235"/>
      <c r="E11" s="235"/>
      <c r="F11" s="235"/>
      <c r="G11" s="235"/>
      <c r="H11" s="235"/>
      <c r="I11" s="235"/>
      <c r="J11" s="235"/>
      <c r="K11" s="235"/>
      <c r="L11" s="235"/>
      <c r="M11" s="235"/>
      <c r="N11" s="235"/>
      <c r="O11" s="235"/>
      <c r="P11" s="83"/>
      <c r="Q11" s="83"/>
      <c r="R11" s="83"/>
      <c r="S11" s="83"/>
      <c r="T11" s="83"/>
      <c r="U11" s="83"/>
      <c r="V11" s="83"/>
      <c r="W11" s="83"/>
      <c r="X11" s="83"/>
      <c r="Y11" s="83"/>
      <c r="Z11" s="83"/>
    </row>
    <row r="12" spans="1:28" s="31" customFormat="1" ht="18.75" x14ac:dyDescent="0.2">
      <c r="A12" s="236" t="str">
        <f>'1. паспорт местоположение'!A12:C12</f>
        <v>O_Che477_24</v>
      </c>
      <c r="B12" s="236"/>
      <c r="C12" s="236"/>
      <c r="D12" s="236"/>
      <c r="E12" s="236"/>
      <c r="F12" s="236"/>
      <c r="G12" s="236"/>
      <c r="H12" s="236"/>
      <c r="I12" s="236"/>
      <c r="J12" s="236"/>
      <c r="K12" s="236"/>
      <c r="L12" s="236"/>
      <c r="M12" s="236"/>
      <c r="N12" s="236"/>
      <c r="O12" s="236"/>
      <c r="P12" s="83"/>
      <c r="Q12" s="83"/>
      <c r="R12" s="83"/>
      <c r="S12" s="83"/>
      <c r="T12" s="83"/>
      <c r="U12" s="83"/>
      <c r="V12" s="83"/>
      <c r="W12" s="83"/>
      <c r="X12" s="83"/>
      <c r="Y12" s="83"/>
      <c r="Z12" s="83"/>
    </row>
    <row r="13" spans="1:28" s="31" customFormat="1" ht="18.75" x14ac:dyDescent="0.2">
      <c r="A13" s="239" t="s">
        <v>3</v>
      </c>
      <c r="B13" s="239"/>
      <c r="C13" s="239"/>
      <c r="D13" s="239"/>
      <c r="E13" s="239"/>
      <c r="F13" s="239"/>
      <c r="G13" s="239"/>
      <c r="H13" s="239"/>
      <c r="I13" s="239"/>
      <c r="J13" s="239"/>
      <c r="K13" s="239"/>
      <c r="L13" s="239"/>
      <c r="M13" s="239"/>
      <c r="N13" s="239"/>
      <c r="O13" s="239"/>
      <c r="P13" s="83"/>
      <c r="Q13" s="83"/>
      <c r="R13" s="83"/>
      <c r="S13" s="83"/>
      <c r="T13" s="83"/>
      <c r="U13" s="83"/>
      <c r="V13" s="83"/>
      <c r="W13" s="83"/>
      <c r="X13" s="83"/>
      <c r="Y13" s="83"/>
      <c r="Z13" s="83"/>
    </row>
    <row r="14" spans="1:28" s="84" customFormat="1" ht="15.75" customHeight="1" x14ac:dyDescent="0.2">
      <c r="A14" s="240"/>
      <c r="B14" s="240"/>
      <c r="C14" s="240"/>
      <c r="D14" s="240"/>
      <c r="E14" s="240"/>
      <c r="F14" s="240"/>
      <c r="G14" s="240"/>
      <c r="H14" s="240"/>
      <c r="I14" s="240"/>
      <c r="J14" s="240"/>
      <c r="K14" s="240"/>
      <c r="L14" s="240"/>
      <c r="M14" s="240"/>
      <c r="N14" s="240"/>
      <c r="O14" s="240"/>
      <c r="P14" s="37"/>
      <c r="Q14" s="37"/>
      <c r="R14" s="37"/>
      <c r="S14" s="37"/>
      <c r="T14" s="37"/>
      <c r="U14" s="37"/>
      <c r="V14" s="37"/>
      <c r="W14" s="37"/>
      <c r="X14" s="37"/>
      <c r="Y14" s="37"/>
      <c r="Z14" s="37"/>
    </row>
    <row r="15" spans="1:28" s="86" customFormat="1" ht="18.75" x14ac:dyDescent="0.2">
      <c r="A15" s="250" t="str">
        <f>'1. паспорт местоположение'!A15:C15</f>
        <v>Приобретение оборудования для намотки кабеля на барабан УПК-25-РЧ-003 (Перемоточное устройство с электроприв.и РКУ)</v>
      </c>
      <c r="B15" s="236"/>
      <c r="C15" s="236"/>
      <c r="D15" s="236"/>
      <c r="E15" s="236"/>
      <c r="F15" s="236"/>
      <c r="G15" s="236"/>
      <c r="H15" s="236"/>
      <c r="I15" s="236"/>
      <c r="J15" s="236"/>
      <c r="K15" s="236"/>
      <c r="L15" s="236"/>
      <c r="M15" s="236"/>
      <c r="N15" s="236"/>
      <c r="O15" s="236"/>
      <c r="P15" s="85"/>
      <c r="Q15" s="85"/>
      <c r="R15" s="85"/>
      <c r="S15" s="85"/>
      <c r="T15" s="85"/>
      <c r="U15" s="85"/>
      <c r="V15" s="85"/>
      <c r="W15" s="85"/>
      <c r="X15" s="85"/>
      <c r="Y15" s="85"/>
      <c r="Z15" s="85"/>
    </row>
    <row r="16" spans="1:28" s="86" customFormat="1" ht="15" customHeight="1" x14ac:dyDescent="0.2">
      <c r="A16" s="239" t="s">
        <v>2</v>
      </c>
      <c r="B16" s="239"/>
      <c r="C16" s="239"/>
      <c r="D16" s="239"/>
      <c r="E16" s="239"/>
      <c r="F16" s="239"/>
      <c r="G16" s="239"/>
      <c r="H16" s="239"/>
      <c r="I16" s="239"/>
      <c r="J16" s="239"/>
      <c r="K16" s="239"/>
      <c r="L16" s="239"/>
      <c r="M16" s="239"/>
      <c r="N16" s="239"/>
      <c r="O16" s="239"/>
      <c r="P16" s="87"/>
      <c r="Q16" s="87"/>
      <c r="R16" s="87"/>
      <c r="S16" s="87"/>
      <c r="T16" s="87"/>
      <c r="U16" s="87"/>
      <c r="V16" s="87"/>
      <c r="W16" s="87"/>
      <c r="X16" s="87"/>
      <c r="Y16" s="87"/>
      <c r="Z16" s="87"/>
    </row>
    <row r="17" spans="1:26" s="86" customFormat="1" ht="15" customHeight="1" x14ac:dyDescent="0.2">
      <c r="A17" s="237"/>
      <c r="B17" s="237"/>
      <c r="C17" s="237"/>
      <c r="D17" s="237"/>
      <c r="E17" s="237"/>
      <c r="F17" s="237"/>
      <c r="G17" s="237"/>
      <c r="H17" s="237"/>
      <c r="I17" s="237"/>
      <c r="J17" s="237"/>
      <c r="K17" s="237"/>
      <c r="L17" s="237"/>
      <c r="M17" s="237"/>
      <c r="N17" s="237"/>
      <c r="O17" s="237"/>
      <c r="P17" s="38"/>
      <c r="Q17" s="38"/>
      <c r="R17" s="38"/>
      <c r="S17" s="38"/>
      <c r="T17" s="38"/>
      <c r="U17" s="38"/>
      <c r="V17" s="38"/>
      <c r="W17" s="38"/>
    </row>
    <row r="18" spans="1:26" s="86" customFormat="1" ht="91.5" customHeight="1" x14ac:dyDescent="0.2">
      <c r="A18" s="274" t="s">
        <v>385</v>
      </c>
      <c r="B18" s="274"/>
      <c r="C18" s="274"/>
      <c r="D18" s="274"/>
      <c r="E18" s="274"/>
      <c r="F18" s="274"/>
      <c r="G18" s="274"/>
      <c r="H18" s="274"/>
      <c r="I18" s="274"/>
      <c r="J18" s="274"/>
      <c r="K18" s="274"/>
      <c r="L18" s="274"/>
      <c r="M18" s="274"/>
      <c r="N18" s="274"/>
      <c r="O18" s="274"/>
      <c r="P18" s="88"/>
      <c r="Q18" s="88"/>
      <c r="R18" s="88"/>
      <c r="S18" s="88"/>
      <c r="T18" s="88"/>
      <c r="U18" s="88"/>
      <c r="V18" s="88"/>
      <c r="W18" s="88"/>
      <c r="X18" s="88"/>
      <c r="Y18" s="88"/>
      <c r="Z18" s="88"/>
    </row>
    <row r="19" spans="1:26" s="86" customFormat="1" ht="78" customHeight="1" x14ac:dyDescent="0.2">
      <c r="A19" s="234" t="s">
        <v>1</v>
      </c>
      <c r="B19" s="234" t="s">
        <v>386</v>
      </c>
      <c r="C19" s="234" t="s">
        <v>387</v>
      </c>
      <c r="D19" s="234" t="s">
        <v>388</v>
      </c>
      <c r="E19" s="275" t="s">
        <v>389</v>
      </c>
      <c r="F19" s="276"/>
      <c r="G19" s="276"/>
      <c r="H19" s="276"/>
      <c r="I19" s="277"/>
      <c r="J19" s="234" t="s">
        <v>390</v>
      </c>
      <c r="K19" s="234"/>
      <c r="L19" s="234"/>
      <c r="M19" s="234"/>
      <c r="N19" s="234"/>
      <c r="O19" s="234"/>
      <c r="P19" s="38"/>
      <c r="Q19" s="38"/>
      <c r="R19" s="38"/>
      <c r="S19" s="38"/>
      <c r="T19" s="38"/>
      <c r="U19" s="38"/>
      <c r="V19" s="38"/>
      <c r="W19" s="38"/>
    </row>
    <row r="20" spans="1:26" s="86" customFormat="1" ht="51" customHeight="1" x14ac:dyDescent="0.2">
      <c r="A20" s="234"/>
      <c r="B20" s="234"/>
      <c r="C20" s="234"/>
      <c r="D20" s="234"/>
      <c r="E20" s="89" t="s">
        <v>391</v>
      </c>
      <c r="F20" s="89" t="s">
        <v>392</v>
      </c>
      <c r="G20" s="89" t="s">
        <v>393</v>
      </c>
      <c r="H20" s="89" t="s">
        <v>394</v>
      </c>
      <c r="I20" s="89" t="s">
        <v>395</v>
      </c>
      <c r="J20" s="89" t="s">
        <v>396</v>
      </c>
      <c r="K20" s="89" t="s">
        <v>397</v>
      </c>
      <c r="L20" s="90" t="s">
        <v>398</v>
      </c>
      <c r="M20" s="91" t="s">
        <v>399</v>
      </c>
      <c r="N20" s="91" t="s">
        <v>400</v>
      </c>
      <c r="O20" s="91" t="s">
        <v>401</v>
      </c>
      <c r="P20" s="37"/>
      <c r="Q20" s="37"/>
      <c r="R20" s="37"/>
      <c r="S20" s="37"/>
      <c r="T20" s="37"/>
      <c r="U20" s="37"/>
      <c r="V20" s="37"/>
      <c r="W20" s="37"/>
      <c r="X20" s="92"/>
      <c r="Y20" s="92"/>
      <c r="Z20" s="92"/>
    </row>
    <row r="21" spans="1:26" s="86" customFormat="1" ht="16.5" customHeight="1" x14ac:dyDescent="0.2">
      <c r="A21" s="93">
        <v>1</v>
      </c>
      <c r="B21" s="94">
        <v>2</v>
      </c>
      <c r="C21" s="93">
        <v>3</v>
      </c>
      <c r="D21" s="94">
        <v>4</v>
      </c>
      <c r="E21" s="93">
        <v>5</v>
      </c>
      <c r="F21" s="94">
        <v>6</v>
      </c>
      <c r="G21" s="93">
        <v>7</v>
      </c>
      <c r="H21" s="94">
        <v>8</v>
      </c>
      <c r="I21" s="93">
        <v>9</v>
      </c>
      <c r="J21" s="94">
        <v>10</v>
      </c>
      <c r="K21" s="93">
        <v>11</v>
      </c>
      <c r="L21" s="94">
        <v>12</v>
      </c>
      <c r="M21" s="93">
        <v>13</v>
      </c>
      <c r="N21" s="94">
        <v>14</v>
      </c>
      <c r="O21" s="93">
        <v>15</v>
      </c>
      <c r="P21" s="37"/>
      <c r="Q21" s="37"/>
      <c r="R21" s="37"/>
      <c r="S21" s="37"/>
      <c r="T21" s="37"/>
      <c r="U21" s="37"/>
      <c r="V21" s="37"/>
      <c r="W21" s="37"/>
      <c r="X21" s="92"/>
      <c r="Y21" s="92"/>
      <c r="Z21" s="92"/>
    </row>
    <row r="22" spans="1:26" s="86" customFormat="1" ht="33" customHeight="1" x14ac:dyDescent="0.2">
      <c r="A22" s="95" t="s">
        <v>314</v>
      </c>
      <c r="B22" s="95" t="s">
        <v>314</v>
      </c>
      <c r="C22" s="95" t="s">
        <v>314</v>
      </c>
      <c r="D22" s="95" t="s">
        <v>314</v>
      </c>
      <c r="E22" s="95" t="s">
        <v>314</v>
      </c>
      <c r="F22" s="95" t="s">
        <v>314</v>
      </c>
      <c r="G22" s="95" t="s">
        <v>314</v>
      </c>
      <c r="H22" s="95" t="s">
        <v>314</v>
      </c>
      <c r="I22" s="95" t="s">
        <v>314</v>
      </c>
      <c r="J22" s="95" t="s">
        <v>314</v>
      </c>
      <c r="K22" s="95" t="s">
        <v>314</v>
      </c>
      <c r="L22" s="95" t="s">
        <v>314</v>
      </c>
      <c r="M22" s="95" t="s">
        <v>314</v>
      </c>
      <c r="N22" s="95" t="s">
        <v>314</v>
      </c>
      <c r="O22" s="95" t="s">
        <v>314</v>
      </c>
      <c r="P22" s="37"/>
      <c r="Q22" s="37"/>
      <c r="R22" s="37"/>
      <c r="S22" s="37"/>
      <c r="T22" s="37"/>
      <c r="U22" s="37"/>
      <c r="V22" s="92"/>
      <c r="W22" s="92"/>
      <c r="X22" s="92"/>
      <c r="Y22" s="92"/>
      <c r="Z22" s="92"/>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2"/>
    <col min="2" max="2" width="28" style="82" customWidth="1"/>
    <col min="3" max="3" width="24.140625" style="82" customWidth="1"/>
    <col min="4" max="4" width="20" style="82" customWidth="1"/>
    <col min="5" max="5" width="15.85546875" style="82" customWidth="1"/>
    <col min="6" max="16384" width="9.140625" style="82"/>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26" t="str">
        <f>'1. паспорт местоположение'!$A$5</f>
        <v>Год раскрытия информации: 2025 год</v>
      </c>
      <c r="B5" s="226"/>
      <c r="C5" s="226"/>
      <c r="D5" s="226"/>
      <c r="E5" s="226"/>
      <c r="F5" s="226"/>
    </row>
    <row r="6" spans="1:6" ht="15.75" x14ac:dyDescent="0.25">
      <c r="A6" s="35"/>
      <c r="B6" s="36"/>
      <c r="C6" s="36"/>
      <c r="D6" s="36"/>
      <c r="E6" s="36"/>
      <c r="F6" s="36"/>
    </row>
    <row r="7" spans="1:6" ht="18.75" x14ac:dyDescent="0.25">
      <c r="A7" s="235" t="s">
        <v>5</v>
      </c>
      <c r="B7" s="235"/>
      <c r="C7" s="235"/>
      <c r="D7" s="235"/>
      <c r="E7" s="235"/>
      <c r="F7" s="235"/>
    </row>
    <row r="8" spans="1:6" ht="18.75" x14ac:dyDescent="0.25">
      <c r="A8" s="64"/>
      <c r="B8" s="64"/>
      <c r="C8" s="64"/>
      <c r="D8" s="64"/>
      <c r="E8" s="64"/>
      <c r="F8" s="64"/>
    </row>
    <row r="9" spans="1:6" ht="15.75" x14ac:dyDescent="0.25">
      <c r="A9" s="284" t="s">
        <v>251</v>
      </c>
      <c r="B9" s="284"/>
      <c r="C9" s="284"/>
      <c r="D9" s="284"/>
      <c r="E9" s="284"/>
      <c r="F9" s="284"/>
    </row>
    <row r="10" spans="1:6" ht="15.75" x14ac:dyDescent="0.25">
      <c r="A10" s="239" t="s">
        <v>4</v>
      </c>
      <c r="B10" s="239"/>
      <c r="C10" s="239"/>
      <c r="D10" s="239"/>
      <c r="E10" s="239"/>
      <c r="F10" s="239"/>
    </row>
    <row r="11" spans="1:6" ht="18.75" x14ac:dyDescent="0.25">
      <c r="A11" s="64"/>
      <c r="B11" s="64"/>
      <c r="C11" s="64"/>
      <c r="D11" s="64"/>
      <c r="E11" s="64"/>
      <c r="F11" s="64"/>
    </row>
    <row r="12" spans="1:6" ht="15.75" x14ac:dyDescent="0.25">
      <c r="A12" s="284" t="str">
        <f>'1. паспорт местоположение'!A12:C12</f>
        <v>O_Che477_24</v>
      </c>
      <c r="B12" s="284"/>
      <c r="C12" s="284"/>
      <c r="D12" s="284"/>
      <c r="E12" s="284"/>
      <c r="F12" s="284"/>
    </row>
    <row r="13" spans="1:6" ht="15.75" x14ac:dyDescent="0.25">
      <c r="A13" s="239" t="s">
        <v>3</v>
      </c>
      <c r="B13" s="239"/>
      <c r="C13" s="239"/>
      <c r="D13" s="239"/>
      <c r="E13" s="239"/>
      <c r="F13" s="239"/>
    </row>
    <row r="14" spans="1:6" ht="18.75" x14ac:dyDescent="0.25">
      <c r="A14" s="37"/>
      <c r="B14" s="37"/>
      <c r="C14" s="37"/>
      <c r="D14" s="37"/>
      <c r="E14" s="37"/>
      <c r="F14" s="37"/>
    </row>
    <row r="15" spans="1:6" ht="53.2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85"/>
      <c r="C15" s="285"/>
      <c r="D15" s="285"/>
      <c r="E15" s="285"/>
      <c r="F15" s="285"/>
    </row>
    <row r="16" spans="1:6" ht="15.75" x14ac:dyDescent="0.25">
      <c r="A16" s="239" t="s">
        <v>2</v>
      </c>
      <c r="B16" s="239"/>
      <c r="C16" s="239"/>
      <c r="D16" s="239"/>
      <c r="E16" s="239"/>
      <c r="F16" s="239"/>
    </row>
    <row r="17" spans="1:6" ht="18.75" x14ac:dyDescent="0.25">
      <c r="A17" s="38"/>
      <c r="B17" s="38"/>
      <c r="C17" s="38"/>
      <c r="D17" s="38"/>
      <c r="E17" s="38"/>
      <c r="F17" s="38"/>
    </row>
    <row r="18" spans="1:6" ht="18.75" x14ac:dyDescent="0.25">
      <c r="A18" s="236" t="s">
        <v>254</v>
      </c>
      <c r="B18" s="236"/>
      <c r="C18" s="236"/>
      <c r="D18" s="236"/>
      <c r="E18" s="236"/>
      <c r="F18" s="236"/>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78" t="s">
        <v>255</v>
      </c>
      <c r="C21" s="279"/>
      <c r="D21" s="279"/>
      <c r="E21" s="280"/>
      <c r="F21" s="39"/>
    </row>
    <row r="22" spans="1:6" ht="15.75" customHeight="1" x14ac:dyDescent="0.25">
      <c r="A22" s="39"/>
      <c r="B22" s="281" t="s">
        <v>256</v>
      </c>
      <c r="C22" s="282"/>
      <c r="D22" s="282" t="s">
        <v>257</v>
      </c>
      <c r="E22" s="283"/>
      <c r="F22" s="39"/>
    </row>
    <row r="23" spans="1:6" ht="63" x14ac:dyDescent="0.25">
      <c r="A23" s="39"/>
      <c r="B23" s="165" t="s">
        <v>258</v>
      </c>
      <c r="C23" s="166" t="s">
        <v>259</v>
      </c>
      <c r="D23" s="166" t="s">
        <v>260</v>
      </c>
      <c r="E23" s="167" t="s">
        <v>261</v>
      </c>
      <c r="F23" s="39"/>
    </row>
    <row r="24" spans="1:6" ht="16.5" thickBot="1" x14ac:dyDescent="0.3">
      <c r="A24" s="39"/>
      <c r="B24" s="154" t="s">
        <v>314</v>
      </c>
      <c r="C24" s="154" t="s">
        <v>314</v>
      </c>
      <c r="D24" s="154" t="s">
        <v>314</v>
      </c>
      <c r="E24" s="154"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25" activePane="bottomRight" state="frozen"/>
      <selection activeCell="A3" sqref="A3"/>
      <selection pane="topRight" activeCell="C3" sqref="C3"/>
      <selection pane="bottomLeft" activeCell="A25" sqref="A25"/>
      <selection pane="bottomRight" activeCell="G54" sqref="G5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26" t="str">
        <f>'1. паспорт местоположение'!$A$5</f>
        <v>Год раскрытия информации: 2025 год</v>
      </c>
      <c r="B5" s="226"/>
      <c r="C5" s="226"/>
      <c r="D5" s="226"/>
      <c r="E5" s="226"/>
      <c r="F5" s="226"/>
      <c r="G5" s="226"/>
      <c r="H5" s="226"/>
      <c r="I5" s="226"/>
      <c r="J5" s="226"/>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0" t="s">
        <v>5</v>
      </c>
      <c r="B7" s="230"/>
      <c r="C7" s="230"/>
      <c r="D7" s="230"/>
      <c r="E7" s="230"/>
      <c r="F7" s="230"/>
      <c r="G7" s="230"/>
      <c r="H7" s="230"/>
      <c r="I7" s="230"/>
      <c r="J7" s="230"/>
    </row>
    <row r="8" spans="1:42" ht="18.75" x14ac:dyDescent="0.25">
      <c r="A8" s="230"/>
      <c r="B8" s="230"/>
      <c r="C8" s="230"/>
      <c r="D8" s="230"/>
      <c r="E8" s="230"/>
      <c r="F8" s="230"/>
      <c r="G8" s="230"/>
      <c r="H8" s="230"/>
      <c r="I8" s="230"/>
      <c r="J8" s="230"/>
    </row>
    <row r="9" spans="1:42" x14ac:dyDescent="0.25">
      <c r="A9" s="231" t="s">
        <v>251</v>
      </c>
      <c r="B9" s="231"/>
      <c r="C9" s="231"/>
      <c r="D9" s="231"/>
      <c r="E9" s="231"/>
      <c r="F9" s="231"/>
      <c r="G9" s="231"/>
      <c r="H9" s="231"/>
      <c r="I9" s="231"/>
      <c r="J9" s="231"/>
    </row>
    <row r="10" spans="1:42" x14ac:dyDescent="0.25">
      <c r="A10" s="232" t="s">
        <v>4</v>
      </c>
      <c r="B10" s="232"/>
      <c r="C10" s="232"/>
      <c r="D10" s="232"/>
      <c r="E10" s="232"/>
      <c r="F10" s="232"/>
      <c r="G10" s="232"/>
      <c r="H10" s="232"/>
      <c r="I10" s="232"/>
      <c r="J10" s="232"/>
    </row>
    <row r="11" spans="1:42" ht="18.75" x14ac:dyDescent="0.25">
      <c r="A11" s="230"/>
      <c r="B11" s="230"/>
      <c r="C11" s="230"/>
      <c r="D11" s="230"/>
      <c r="E11" s="230"/>
      <c r="F11" s="230"/>
      <c r="G11" s="230"/>
      <c r="H11" s="230"/>
      <c r="I11" s="230"/>
      <c r="J11" s="230"/>
    </row>
    <row r="12" spans="1:42" x14ac:dyDescent="0.25">
      <c r="A12" s="231" t="str">
        <f>'1. паспорт местоположение'!A12:C12</f>
        <v>O_Che477_24</v>
      </c>
      <c r="B12" s="231"/>
      <c r="C12" s="231"/>
      <c r="D12" s="231"/>
      <c r="E12" s="231"/>
      <c r="F12" s="231"/>
      <c r="G12" s="231"/>
      <c r="H12" s="231"/>
      <c r="I12" s="231"/>
      <c r="J12" s="231"/>
    </row>
    <row r="13" spans="1:42" x14ac:dyDescent="0.25">
      <c r="A13" s="232" t="s">
        <v>3</v>
      </c>
      <c r="B13" s="232"/>
      <c r="C13" s="232"/>
      <c r="D13" s="232"/>
      <c r="E13" s="232"/>
      <c r="F13" s="232"/>
      <c r="G13" s="232"/>
      <c r="H13" s="232"/>
      <c r="I13" s="232"/>
      <c r="J13" s="232"/>
    </row>
    <row r="14" spans="1:42" ht="18.75" x14ac:dyDescent="0.25">
      <c r="A14" s="247"/>
      <c r="B14" s="247"/>
      <c r="C14" s="247"/>
      <c r="D14" s="247"/>
      <c r="E14" s="247"/>
      <c r="F14" s="247"/>
      <c r="G14" s="247"/>
      <c r="H14" s="247"/>
      <c r="I14" s="247"/>
      <c r="J14" s="247"/>
    </row>
    <row r="15" spans="1:42" ht="43.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233"/>
      <c r="D15" s="233"/>
      <c r="E15" s="233"/>
      <c r="F15" s="233"/>
      <c r="G15" s="233"/>
      <c r="H15" s="233"/>
      <c r="I15" s="233"/>
      <c r="J15" s="233"/>
    </row>
    <row r="16" spans="1:42" x14ac:dyDescent="0.25">
      <c r="A16" s="232" t="s">
        <v>2</v>
      </c>
      <c r="B16" s="232"/>
      <c r="C16" s="232"/>
      <c r="D16" s="232"/>
      <c r="E16" s="232"/>
      <c r="F16" s="232"/>
      <c r="G16" s="232"/>
      <c r="H16" s="232"/>
      <c r="I16" s="232"/>
      <c r="J16" s="232"/>
    </row>
    <row r="17" spans="1:10" ht="15.75" customHeight="1" x14ac:dyDescent="0.25">
      <c r="J17" s="66"/>
    </row>
    <row r="18" spans="1:10" x14ac:dyDescent="0.25">
      <c r="I18" s="5"/>
    </row>
    <row r="19" spans="1:10" ht="15.75" customHeight="1" x14ac:dyDescent="0.25">
      <c r="A19" s="295" t="s">
        <v>239</v>
      </c>
      <c r="B19" s="295"/>
      <c r="C19" s="295"/>
      <c r="D19" s="295"/>
      <c r="E19" s="295"/>
      <c r="F19" s="295"/>
      <c r="G19" s="295"/>
      <c r="H19" s="295"/>
      <c r="I19" s="295"/>
      <c r="J19" s="295"/>
    </row>
    <row r="20" spans="1:10" x14ac:dyDescent="0.25">
      <c r="A20" s="70"/>
      <c r="B20" s="70"/>
      <c r="C20" s="8"/>
      <c r="D20" s="8"/>
      <c r="E20" s="8"/>
      <c r="F20" s="8"/>
      <c r="G20" s="8"/>
      <c r="H20" s="8"/>
      <c r="I20" s="8"/>
      <c r="J20" s="8"/>
    </row>
    <row r="21" spans="1:10" ht="28.5" customHeight="1" x14ac:dyDescent="0.25">
      <c r="A21" s="286" t="s">
        <v>129</v>
      </c>
      <c r="B21" s="286" t="s">
        <v>128</v>
      </c>
      <c r="C21" s="296" t="s">
        <v>189</v>
      </c>
      <c r="D21" s="296"/>
      <c r="E21" s="296"/>
      <c r="F21" s="296"/>
      <c r="G21" s="287" t="s">
        <v>127</v>
      </c>
      <c r="H21" s="292" t="s">
        <v>191</v>
      </c>
      <c r="I21" s="286" t="s">
        <v>126</v>
      </c>
      <c r="J21" s="288" t="s">
        <v>190</v>
      </c>
    </row>
    <row r="22" spans="1:10" ht="58.5" customHeight="1" x14ac:dyDescent="0.25">
      <c r="A22" s="286"/>
      <c r="B22" s="286"/>
      <c r="C22" s="291" t="s">
        <v>0</v>
      </c>
      <c r="D22" s="291"/>
      <c r="E22" s="289" t="str">
        <f>'6.2. Паспорт фин осв ввод'!D22</f>
        <v>Факт</v>
      </c>
      <c r="F22" s="290"/>
      <c r="G22" s="287"/>
      <c r="H22" s="293"/>
      <c r="I22" s="286"/>
      <c r="J22" s="288"/>
    </row>
    <row r="23" spans="1:10" ht="31.5" x14ac:dyDescent="0.25">
      <c r="A23" s="286"/>
      <c r="B23" s="286"/>
      <c r="C23" s="17" t="s">
        <v>125</v>
      </c>
      <c r="D23" s="17" t="s">
        <v>124</v>
      </c>
      <c r="E23" s="17" t="s">
        <v>125</v>
      </c>
      <c r="F23" s="17" t="s">
        <v>124</v>
      </c>
      <c r="G23" s="287"/>
      <c r="H23" s="294"/>
      <c r="I23" s="286"/>
      <c r="J23" s="288"/>
    </row>
    <row r="24" spans="1:10" x14ac:dyDescent="0.25">
      <c r="A24" s="65">
        <v>1</v>
      </c>
      <c r="B24" s="65">
        <v>2</v>
      </c>
      <c r="C24" s="17">
        <v>3</v>
      </c>
      <c r="D24" s="17">
        <v>4</v>
      </c>
      <c r="E24" s="17">
        <v>7</v>
      </c>
      <c r="F24" s="17">
        <v>8</v>
      </c>
      <c r="G24" s="17">
        <v>9</v>
      </c>
      <c r="H24" s="17">
        <v>10</v>
      </c>
      <c r="I24" s="17">
        <v>11</v>
      </c>
      <c r="J24" s="17">
        <v>12</v>
      </c>
    </row>
    <row r="25" spans="1:10" s="52" customFormat="1" x14ac:dyDescent="0.25">
      <c r="A25" s="160">
        <v>1</v>
      </c>
      <c r="B25" s="80" t="s">
        <v>123</v>
      </c>
      <c r="C25" s="168" t="s">
        <v>314</v>
      </c>
      <c r="D25" s="168" t="s">
        <v>314</v>
      </c>
      <c r="E25" s="168" t="s">
        <v>314</v>
      </c>
      <c r="F25" s="168" t="s">
        <v>314</v>
      </c>
      <c r="G25" s="168" t="s">
        <v>314</v>
      </c>
      <c r="H25" s="168" t="s">
        <v>314</v>
      </c>
      <c r="I25" s="155"/>
      <c r="J25" s="19"/>
    </row>
    <row r="26" spans="1:10" s="52" customFormat="1" ht="21.75" customHeight="1" x14ac:dyDescent="0.25">
      <c r="A26" s="160" t="s">
        <v>122</v>
      </c>
      <c r="B26" s="51" t="s">
        <v>193</v>
      </c>
      <c r="C26" s="168" t="s">
        <v>314</v>
      </c>
      <c r="D26" s="168" t="s">
        <v>314</v>
      </c>
      <c r="E26" s="168" t="s">
        <v>314</v>
      </c>
      <c r="F26" s="168" t="s">
        <v>314</v>
      </c>
      <c r="G26" s="168" t="s">
        <v>314</v>
      </c>
      <c r="H26" s="168" t="s">
        <v>314</v>
      </c>
      <c r="I26" s="155"/>
      <c r="J26" s="155"/>
    </row>
    <row r="27" spans="1:10" s="53" customFormat="1" ht="29.25" customHeight="1" x14ac:dyDescent="0.25">
      <c r="A27" s="160" t="s">
        <v>121</v>
      </c>
      <c r="B27" s="51" t="s">
        <v>195</v>
      </c>
      <c r="C27" s="168" t="s">
        <v>314</v>
      </c>
      <c r="D27" s="168" t="s">
        <v>314</v>
      </c>
      <c r="E27" s="168" t="s">
        <v>314</v>
      </c>
      <c r="F27" s="168" t="s">
        <v>314</v>
      </c>
      <c r="G27" s="168" t="s">
        <v>314</v>
      </c>
      <c r="H27" s="168" t="s">
        <v>314</v>
      </c>
      <c r="I27" s="155"/>
      <c r="J27" s="155"/>
    </row>
    <row r="28" spans="1:10" s="53" customFormat="1" ht="42" customHeight="1" x14ac:dyDescent="0.25">
      <c r="A28" s="160" t="s">
        <v>194</v>
      </c>
      <c r="B28" s="51" t="s">
        <v>199</v>
      </c>
      <c r="C28" s="168" t="s">
        <v>314</v>
      </c>
      <c r="D28" s="168" t="s">
        <v>314</v>
      </c>
      <c r="E28" s="168" t="s">
        <v>314</v>
      </c>
      <c r="F28" s="168" t="s">
        <v>314</v>
      </c>
      <c r="G28" s="168" t="s">
        <v>314</v>
      </c>
      <c r="H28" s="168" t="s">
        <v>314</v>
      </c>
      <c r="I28" s="155"/>
      <c r="J28" s="155"/>
    </row>
    <row r="29" spans="1:10" s="53" customFormat="1" ht="33.75" customHeight="1" x14ac:dyDescent="0.25">
      <c r="A29" s="160" t="s">
        <v>120</v>
      </c>
      <c r="B29" s="51" t="s">
        <v>198</v>
      </c>
      <c r="C29" s="168" t="s">
        <v>314</v>
      </c>
      <c r="D29" s="168" t="s">
        <v>314</v>
      </c>
      <c r="E29" s="168" t="s">
        <v>314</v>
      </c>
      <c r="F29" s="168" t="s">
        <v>314</v>
      </c>
      <c r="G29" s="168" t="s">
        <v>314</v>
      </c>
      <c r="H29" s="168" t="s">
        <v>314</v>
      </c>
      <c r="I29" s="155"/>
      <c r="J29" s="155"/>
    </row>
    <row r="30" spans="1:10" s="53" customFormat="1" ht="42" customHeight="1" x14ac:dyDescent="0.25">
      <c r="A30" s="160" t="s">
        <v>119</v>
      </c>
      <c r="B30" s="51" t="s">
        <v>200</v>
      </c>
      <c r="C30" s="168" t="s">
        <v>314</v>
      </c>
      <c r="D30" s="168" t="s">
        <v>314</v>
      </c>
      <c r="E30" s="168" t="s">
        <v>314</v>
      </c>
      <c r="F30" s="168" t="s">
        <v>314</v>
      </c>
      <c r="G30" s="168" t="s">
        <v>314</v>
      </c>
      <c r="H30" s="168" t="s">
        <v>314</v>
      </c>
      <c r="I30" s="155"/>
      <c r="J30" s="155"/>
    </row>
    <row r="31" spans="1:10" s="53" customFormat="1" ht="37.5" customHeight="1" x14ac:dyDescent="0.25">
      <c r="A31" s="160" t="s">
        <v>118</v>
      </c>
      <c r="B31" s="81" t="s">
        <v>196</v>
      </c>
      <c r="C31" s="168" t="s">
        <v>314</v>
      </c>
      <c r="D31" s="168" t="s">
        <v>314</v>
      </c>
      <c r="E31" s="168" t="s">
        <v>314</v>
      </c>
      <c r="F31" s="168" t="s">
        <v>314</v>
      </c>
      <c r="G31" s="168" t="s">
        <v>314</v>
      </c>
      <c r="H31" s="168" t="s">
        <v>314</v>
      </c>
      <c r="I31" s="155"/>
      <c r="J31" s="155"/>
    </row>
    <row r="32" spans="1:10" s="53" customFormat="1" ht="35.25" customHeight="1" x14ac:dyDescent="0.25">
      <c r="A32" s="160" t="s">
        <v>116</v>
      </c>
      <c r="B32" s="81" t="s">
        <v>201</v>
      </c>
      <c r="C32" s="168" t="s">
        <v>314</v>
      </c>
      <c r="D32" s="168" t="s">
        <v>314</v>
      </c>
      <c r="E32" s="168" t="s">
        <v>314</v>
      </c>
      <c r="F32" s="168" t="s">
        <v>314</v>
      </c>
      <c r="G32" s="168" t="s">
        <v>314</v>
      </c>
      <c r="H32" s="168" t="s">
        <v>314</v>
      </c>
      <c r="I32" s="155"/>
      <c r="J32" s="155"/>
    </row>
    <row r="33" spans="1:10" s="53" customFormat="1" ht="51.75" customHeight="1" x14ac:dyDescent="0.25">
      <c r="A33" s="160" t="s">
        <v>212</v>
      </c>
      <c r="B33" s="81" t="s">
        <v>142</v>
      </c>
      <c r="C33" s="168" t="s">
        <v>314</v>
      </c>
      <c r="D33" s="168" t="s">
        <v>314</v>
      </c>
      <c r="E33" s="168" t="s">
        <v>314</v>
      </c>
      <c r="F33" s="168" t="s">
        <v>314</v>
      </c>
      <c r="G33" s="168" t="s">
        <v>314</v>
      </c>
      <c r="H33" s="168" t="s">
        <v>314</v>
      </c>
      <c r="I33" s="155"/>
      <c r="J33" s="155"/>
    </row>
    <row r="34" spans="1:10" s="53" customFormat="1" ht="57" customHeight="1" x14ac:dyDescent="0.25">
      <c r="A34" s="160" t="s">
        <v>213</v>
      </c>
      <c r="B34" s="81" t="s">
        <v>205</v>
      </c>
      <c r="C34" s="168" t="s">
        <v>314</v>
      </c>
      <c r="D34" s="168" t="s">
        <v>314</v>
      </c>
      <c r="E34" s="168" t="s">
        <v>314</v>
      </c>
      <c r="F34" s="168" t="s">
        <v>314</v>
      </c>
      <c r="G34" s="168" t="s">
        <v>314</v>
      </c>
      <c r="H34" s="168" t="s">
        <v>314</v>
      </c>
      <c r="I34" s="157"/>
      <c r="J34" s="155"/>
    </row>
    <row r="35" spans="1:10" s="53" customFormat="1" ht="36" customHeight="1" x14ac:dyDescent="0.25">
      <c r="A35" s="160" t="s">
        <v>214</v>
      </c>
      <c r="B35" s="81" t="s">
        <v>117</v>
      </c>
      <c r="C35" s="168" t="s">
        <v>314</v>
      </c>
      <c r="D35" s="168" t="s">
        <v>314</v>
      </c>
      <c r="E35" s="168" t="s">
        <v>314</v>
      </c>
      <c r="F35" s="168" t="s">
        <v>314</v>
      </c>
      <c r="G35" s="168" t="s">
        <v>314</v>
      </c>
      <c r="H35" s="168" t="s">
        <v>314</v>
      </c>
      <c r="I35" s="157"/>
      <c r="J35" s="155"/>
    </row>
    <row r="36" spans="1:10" s="52" customFormat="1" ht="37.5" customHeight="1" x14ac:dyDescent="0.25">
      <c r="A36" s="160" t="s">
        <v>215</v>
      </c>
      <c r="B36" s="81" t="s">
        <v>197</v>
      </c>
      <c r="C36" s="168" t="s">
        <v>314</v>
      </c>
      <c r="D36" s="168" t="s">
        <v>314</v>
      </c>
      <c r="E36" s="168" t="s">
        <v>314</v>
      </c>
      <c r="F36" s="168" t="s">
        <v>314</v>
      </c>
      <c r="G36" s="168" t="s">
        <v>314</v>
      </c>
      <c r="H36" s="168" t="s">
        <v>314</v>
      </c>
      <c r="I36" s="155"/>
      <c r="J36" s="155"/>
    </row>
    <row r="37" spans="1:10" s="52" customFormat="1" ht="21.75" customHeight="1" x14ac:dyDescent="0.25">
      <c r="A37" s="160" t="s">
        <v>216</v>
      </c>
      <c r="B37" s="81" t="s">
        <v>115</v>
      </c>
      <c r="C37" s="168" t="s">
        <v>314</v>
      </c>
      <c r="D37" s="168" t="s">
        <v>314</v>
      </c>
      <c r="E37" s="168" t="s">
        <v>314</v>
      </c>
      <c r="F37" s="168" t="s">
        <v>314</v>
      </c>
      <c r="G37" s="168" t="s">
        <v>314</v>
      </c>
      <c r="H37" s="168" t="s">
        <v>314</v>
      </c>
      <c r="I37" s="155"/>
      <c r="J37" s="155"/>
    </row>
    <row r="38" spans="1:10" s="52" customFormat="1" ht="34.5" customHeight="1" x14ac:dyDescent="0.25">
      <c r="A38" s="160" t="s">
        <v>217</v>
      </c>
      <c r="B38" s="80" t="s">
        <v>114</v>
      </c>
      <c r="C38" s="168" t="s">
        <v>314</v>
      </c>
      <c r="D38" s="168"/>
      <c r="E38" s="156"/>
      <c r="F38" s="156"/>
      <c r="G38" s="171"/>
      <c r="H38" s="171"/>
      <c r="I38" s="155"/>
      <c r="J38" s="155"/>
    </row>
    <row r="39" spans="1:10" s="52" customFormat="1" ht="42.6" customHeight="1" x14ac:dyDescent="0.25">
      <c r="A39" s="160">
        <v>2</v>
      </c>
      <c r="B39" s="81" t="s">
        <v>202</v>
      </c>
      <c r="C39" s="168" t="s">
        <v>314</v>
      </c>
      <c r="D39" s="168" t="s">
        <v>314</v>
      </c>
      <c r="E39" s="168" t="s">
        <v>314</v>
      </c>
      <c r="F39" s="168" t="s">
        <v>314</v>
      </c>
      <c r="G39" s="168" t="s">
        <v>314</v>
      </c>
      <c r="H39" s="168" t="s">
        <v>314</v>
      </c>
      <c r="I39" s="155"/>
      <c r="J39" s="155"/>
    </row>
    <row r="40" spans="1:10" s="52" customFormat="1" ht="24.6" customHeight="1" x14ac:dyDescent="0.25">
      <c r="A40" s="160" t="s">
        <v>113</v>
      </c>
      <c r="B40" s="81" t="s">
        <v>204</v>
      </c>
      <c r="C40" s="169" t="s">
        <v>314</v>
      </c>
      <c r="D40" s="169" t="s">
        <v>314</v>
      </c>
      <c r="E40" s="155" t="s">
        <v>489</v>
      </c>
      <c r="F40" s="155" t="s">
        <v>489</v>
      </c>
      <c r="G40" s="171">
        <v>1</v>
      </c>
      <c r="H40" s="168" t="s">
        <v>314</v>
      </c>
      <c r="I40" s="155"/>
      <c r="J40" s="155"/>
    </row>
    <row r="41" spans="1:10" s="52" customFormat="1" ht="39" customHeight="1" x14ac:dyDescent="0.25">
      <c r="A41" s="160" t="s">
        <v>112</v>
      </c>
      <c r="B41" s="80" t="s">
        <v>250</v>
      </c>
      <c r="C41" s="168" t="s">
        <v>314</v>
      </c>
      <c r="D41" s="168" t="s">
        <v>314</v>
      </c>
      <c r="E41" s="168" t="s">
        <v>314</v>
      </c>
      <c r="F41" s="168" t="s">
        <v>314</v>
      </c>
      <c r="G41" s="168" t="s">
        <v>314</v>
      </c>
      <c r="H41" s="168" t="s">
        <v>314</v>
      </c>
      <c r="I41" s="155"/>
      <c r="J41" s="155"/>
    </row>
    <row r="42" spans="1:10" s="52" customFormat="1" ht="39.6" customHeight="1" x14ac:dyDescent="0.25">
      <c r="A42" s="160">
        <v>3</v>
      </c>
      <c r="B42" s="81" t="s">
        <v>203</v>
      </c>
      <c r="C42" s="168" t="s">
        <v>314</v>
      </c>
      <c r="D42" s="168" t="s">
        <v>314</v>
      </c>
      <c r="E42" s="168" t="s">
        <v>314</v>
      </c>
      <c r="F42" s="168" t="s">
        <v>314</v>
      </c>
      <c r="G42" s="168" t="s">
        <v>314</v>
      </c>
      <c r="H42" s="168" t="s">
        <v>314</v>
      </c>
      <c r="I42" s="155"/>
      <c r="J42" s="155"/>
    </row>
    <row r="43" spans="1:10" s="52" customFormat="1" ht="34.5" customHeight="1" x14ac:dyDescent="0.25">
      <c r="A43" s="160" t="s">
        <v>111</v>
      </c>
      <c r="B43" s="81" t="s">
        <v>109</v>
      </c>
      <c r="C43" s="169" t="s">
        <v>314</v>
      </c>
      <c r="D43" s="169" t="s">
        <v>314</v>
      </c>
      <c r="E43" s="168" t="s">
        <v>314</v>
      </c>
      <c r="F43" s="168" t="s">
        <v>314</v>
      </c>
      <c r="G43" s="168" t="s">
        <v>314</v>
      </c>
      <c r="H43" s="168" t="s">
        <v>314</v>
      </c>
      <c r="I43" s="155"/>
      <c r="J43" s="155"/>
    </row>
    <row r="44" spans="1:10" s="52" customFormat="1" ht="24.75" customHeight="1" x14ac:dyDescent="0.25">
      <c r="A44" s="160" t="s">
        <v>110</v>
      </c>
      <c r="B44" s="81" t="s">
        <v>107</v>
      </c>
      <c r="C44" s="168" t="s">
        <v>314</v>
      </c>
      <c r="D44" s="168" t="s">
        <v>314</v>
      </c>
      <c r="E44" s="168" t="s">
        <v>314</v>
      </c>
      <c r="F44" s="168" t="s">
        <v>314</v>
      </c>
      <c r="G44" s="168" t="s">
        <v>314</v>
      </c>
      <c r="H44" s="168" t="s">
        <v>314</v>
      </c>
      <c r="I44" s="155"/>
      <c r="J44" s="155"/>
    </row>
    <row r="45" spans="1:10" s="52" customFormat="1" ht="63.75" customHeight="1" x14ac:dyDescent="0.25">
      <c r="A45" s="160" t="s">
        <v>108</v>
      </c>
      <c r="B45" s="81" t="s">
        <v>208</v>
      </c>
      <c r="C45" s="168" t="s">
        <v>314</v>
      </c>
      <c r="D45" s="168" t="s">
        <v>314</v>
      </c>
      <c r="E45" s="168" t="s">
        <v>314</v>
      </c>
      <c r="F45" s="168" t="s">
        <v>314</v>
      </c>
      <c r="G45" s="168" t="s">
        <v>314</v>
      </c>
      <c r="H45" s="168" t="s">
        <v>314</v>
      </c>
      <c r="I45" s="155"/>
      <c r="J45" s="155"/>
    </row>
    <row r="46" spans="1:10" s="52" customFormat="1" ht="109.5" customHeight="1" x14ac:dyDescent="0.25">
      <c r="A46" s="160" t="s">
        <v>106</v>
      </c>
      <c r="B46" s="81" t="s">
        <v>206</v>
      </c>
      <c r="C46" s="168" t="s">
        <v>314</v>
      </c>
      <c r="D46" s="168" t="s">
        <v>314</v>
      </c>
      <c r="E46" s="168" t="s">
        <v>314</v>
      </c>
      <c r="F46" s="168" t="s">
        <v>314</v>
      </c>
      <c r="G46" s="168" t="s">
        <v>314</v>
      </c>
      <c r="H46" s="168" t="s">
        <v>314</v>
      </c>
      <c r="I46" s="155"/>
      <c r="J46" s="155"/>
    </row>
    <row r="47" spans="1:10" s="52" customFormat="1" ht="30.75" customHeight="1" x14ac:dyDescent="0.25">
      <c r="A47" s="160" t="s">
        <v>104</v>
      </c>
      <c r="B47" s="81" t="s">
        <v>105</v>
      </c>
      <c r="C47" s="168" t="s">
        <v>314</v>
      </c>
      <c r="D47" s="168" t="s">
        <v>314</v>
      </c>
      <c r="E47" s="168" t="s">
        <v>314</v>
      </c>
      <c r="F47" s="168" t="s">
        <v>314</v>
      </c>
      <c r="G47" s="168" t="s">
        <v>314</v>
      </c>
      <c r="H47" s="168" t="s">
        <v>314</v>
      </c>
      <c r="I47" s="155"/>
      <c r="J47" s="155"/>
    </row>
    <row r="48" spans="1:10" s="52" customFormat="1" ht="37.5" customHeight="1" x14ac:dyDescent="0.25">
      <c r="A48" s="160" t="s">
        <v>218</v>
      </c>
      <c r="B48" s="80" t="s">
        <v>103</v>
      </c>
      <c r="C48" s="168" t="s">
        <v>314</v>
      </c>
      <c r="D48" s="168" t="s">
        <v>314</v>
      </c>
      <c r="E48" s="168" t="s">
        <v>314</v>
      </c>
      <c r="F48" s="168" t="s">
        <v>314</v>
      </c>
      <c r="G48" s="168" t="s">
        <v>314</v>
      </c>
      <c r="H48" s="168" t="s">
        <v>314</v>
      </c>
      <c r="I48" s="155"/>
      <c r="J48" s="155"/>
    </row>
    <row r="49" spans="1:10" s="52" customFormat="1" ht="35.25" customHeight="1" x14ac:dyDescent="0.25">
      <c r="A49" s="160">
        <v>4</v>
      </c>
      <c r="B49" s="81" t="s">
        <v>101</v>
      </c>
      <c r="C49" s="168" t="s">
        <v>314</v>
      </c>
      <c r="D49" s="168" t="s">
        <v>314</v>
      </c>
      <c r="E49" s="168" t="s">
        <v>314</v>
      </c>
      <c r="F49" s="168" t="s">
        <v>314</v>
      </c>
      <c r="G49" s="168" t="s">
        <v>314</v>
      </c>
      <c r="H49" s="168" t="s">
        <v>314</v>
      </c>
      <c r="I49" s="155"/>
      <c r="J49" s="155"/>
    </row>
    <row r="50" spans="1:10" s="52" customFormat="1" ht="57.6" customHeight="1" x14ac:dyDescent="0.25">
      <c r="A50" s="160" t="s">
        <v>102</v>
      </c>
      <c r="B50" s="81" t="s">
        <v>207</v>
      </c>
      <c r="C50" s="169" t="s">
        <v>314</v>
      </c>
      <c r="D50" s="169" t="s">
        <v>314</v>
      </c>
      <c r="E50" s="168" t="s">
        <v>314</v>
      </c>
      <c r="F50" s="168" t="s">
        <v>314</v>
      </c>
      <c r="G50" s="168" t="s">
        <v>314</v>
      </c>
      <c r="H50" s="168" t="s">
        <v>314</v>
      </c>
      <c r="I50" s="155"/>
      <c r="J50" s="155"/>
    </row>
    <row r="51" spans="1:10" s="52" customFormat="1" ht="45" customHeight="1" x14ac:dyDescent="0.25">
      <c r="A51" s="160" t="s">
        <v>100</v>
      </c>
      <c r="B51" s="81" t="s">
        <v>209</v>
      </c>
      <c r="C51" s="168" t="s">
        <v>314</v>
      </c>
      <c r="D51" s="168" t="s">
        <v>314</v>
      </c>
      <c r="E51" s="168" t="s">
        <v>314</v>
      </c>
      <c r="F51" s="168" t="s">
        <v>314</v>
      </c>
      <c r="G51" s="168" t="s">
        <v>314</v>
      </c>
      <c r="H51" s="168" t="s">
        <v>314</v>
      </c>
      <c r="I51" s="155"/>
      <c r="J51" s="155"/>
    </row>
    <row r="52" spans="1:10" s="52" customFormat="1" ht="45.6" customHeight="1" x14ac:dyDescent="0.25">
      <c r="A52" s="160" t="s">
        <v>98</v>
      </c>
      <c r="B52" s="81" t="s">
        <v>99</v>
      </c>
      <c r="C52" s="168" t="s">
        <v>314</v>
      </c>
      <c r="D52" s="168" t="s">
        <v>314</v>
      </c>
      <c r="E52" s="168" t="s">
        <v>314</v>
      </c>
      <c r="F52" s="168" t="s">
        <v>314</v>
      </c>
      <c r="G52" s="168" t="s">
        <v>314</v>
      </c>
      <c r="H52" s="168" t="s">
        <v>314</v>
      </c>
      <c r="I52" s="155"/>
      <c r="J52" s="155"/>
    </row>
    <row r="53" spans="1:10" s="52" customFormat="1" ht="33" customHeight="1" x14ac:dyDescent="0.25">
      <c r="A53" s="160" t="s">
        <v>96</v>
      </c>
      <c r="B53" s="52" t="s">
        <v>210</v>
      </c>
      <c r="C53" s="169" t="s">
        <v>314</v>
      </c>
      <c r="D53" s="169" t="s">
        <v>314</v>
      </c>
      <c r="E53" s="169">
        <v>45382</v>
      </c>
      <c r="F53" s="169">
        <v>45382</v>
      </c>
      <c r="G53" s="168">
        <v>100</v>
      </c>
      <c r="H53" s="168" t="s">
        <v>314</v>
      </c>
      <c r="I53" s="155"/>
      <c r="J53" s="155"/>
    </row>
    <row r="54" spans="1:10" s="52" customFormat="1" ht="31.9" customHeight="1" x14ac:dyDescent="0.25">
      <c r="A54" s="160" t="s">
        <v>211</v>
      </c>
      <c r="B54" s="81" t="s">
        <v>97</v>
      </c>
      <c r="C54" s="168" t="s">
        <v>314</v>
      </c>
      <c r="D54" s="168" t="s">
        <v>314</v>
      </c>
      <c r="E54" s="168" t="s">
        <v>314</v>
      </c>
      <c r="F54" s="168" t="s">
        <v>314</v>
      </c>
      <c r="G54" s="168" t="s">
        <v>314</v>
      </c>
      <c r="H54" s="168" t="s">
        <v>314</v>
      </c>
      <c r="I54" s="155"/>
      <c r="J54" s="155"/>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2025-03-13T12:43:37Z</dcterms:modified>
</cp:coreProperties>
</file>