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  <definedName name="_xlnm.Print_Area" localSheetId="11">'8. Общие сведения'!$A$1:$B$101</definedName>
  </definedNames>
  <calcPr calcId="162913" iterate="1" iterateCount="1000"/>
</workbook>
</file>

<file path=xl/calcChain.xml><?xml version="1.0" encoding="utf-8"?>
<calcChain xmlns="http://schemas.openxmlformats.org/spreadsheetml/2006/main">
  <c r="C78" i="22" l="1"/>
  <c r="C76" i="22" l="1"/>
  <c r="A5" i="7" l="1"/>
  <c r="B29" i="22" l="1"/>
  <c r="B30" i="22"/>
  <c r="B38" i="22" l="1"/>
  <c r="B63" i="22" l="1"/>
  <c r="B58" i="22"/>
  <c r="B53" i="22"/>
  <c r="B48" i="22"/>
  <c r="B33" i="22"/>
  <c r="P31" i="5"/>
  <c r="AD31" i="5"/>
  <c r="AD30" i="5"/>
  <c r="R31" i="5"/>
  <c r="R30" i="5"/>
  <c r="P30" i="5"/>
  <c r="AB29" i="5" l="1"/>
  <c r="AD29" i="5" s="1"/>
  <c r="X29" i="5"/>
  <c r="R29" i="5"/>
  <c r="P29" i="5"/>
  <c r="H24" i="24" l="1"/>
  <c r="A12" i="23" l="1"/>
  <c r="A13" i="28"/>
  <c r="A11" i="27"/>
  <c r="A12" i="26"/>
  <c r="A13" i="25"/>
  <c r="H11" i="24" l="1"/>
  <c r="B72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5" i="22"/>
  <c r="B23" i="22" l="1"/>
  <c r="C57" i="15" l="1"/>
  <c r="C48" i="15"/>
  <c r="C39" i="15"/>
  <c r="H27" i="15"/>
  <c r="I27" i="15" s="1"/>
  <c r="C47" i="15"/>
  <c r="G29" i="15"/>
  <c r="G55" i="15"/>
  <c r="G32" i="15"/>
  <c r="E32" i="15" s="1"/>
  <c r="G62" i="15"/>
  <c r="G52" i="15"/>
  <c r="G42" i="15"/>
  <c r="G33" i="15"/>
  <c r="E33" i="15" s="1"/>
  <c r="J25" i="15"/>
  <c r="C49" i="15"/>
  <c r="C36" i="15"/>
  <c r="G48" i="15"/>
  <c r="G34" i="15"/>
  <c r="E34" i="15" s="1"/>
  <c r="C46" i="15"/>
  <c r="C37" i="15"/>
  <c r="C42" i="15"/>
  <c r="G50" i="15"/>
  <c r="G49" i="15"/>
  <c r="G31" i="15"/>
  <c r="E31" i="15" s="1"/>
  <c r="G24" i="15"/>
  <c r="C45" i="15"/>
  <c r="J27" i="15"/>
  <c r="K27" i="15" s="1"/>
  <c r="G30" i="15"/>
  <c r="C53" i="15"/>
  <c r="C34" i="15"/>
  <c r="C33" i="15"/>
  <c r="G46" i="15"/>
  <c r="H26" i="15"/>
  <c r="G47" i="15"/>
  <c r="G28" i="15"/>
  <c r="C56" i="15"/>
  <c r="G57" i="15"/>
  <c r="C30" i="15"/>
  <c r="C49" i="7" s="1"/>
  <c r="C50" i="15"/>
  <c r="C32" i="15"/>
  <c r="C54" i="15"/>
  <c r="G61" i="15"/>
  <c r="G64" i="15"/>
  <c r="G54" i="15"/>
  <c r="G36" i="15"/>
  <c r="C38" i="15"/>
  <c r="G37" i="15"/>
  <c r="C55" i="15"/>
  <c r="G26" i="15"/>
  <c r="J26" i="15"/>
  <c r="G60" i="15"/>
  <c r="G40" i="15"/>
  <c r="G44" i="15"/>
  <c r="C44" i="15"/>
  <c r="G25" i="15"/>
  <c r="G63" i="15"/>
  <c r="G56" i="15"/>
  <c r="G38" i="15"/>
  <c r="C40" i="15"/>
  <c r="G41" i="15"/>
  <c r="C41" i="15"/>
  <c r="C31" i="15"/>
  <c r="G39" i="15"/>
  <c r="G45" i="15"/>
  <c r="G27" i="15"/>
  <c r="C52" i="15"/>
  <c r="G53" i="15"/>
  <c r="H25" i="15"/>
  <c r="D25" i="15" l="1"/>
  <c r="D26" i="15"/>
  <c r="I25" i="15"/>
  <c r="C25" i="15"/>
  <c r="F26" i="15"/>
  <c r="E26" i="15" s="1"/>
  <c r="K26" i="15"/>
  <c r="E28" i="15"/>
  <c r="I26" i="15"/>
  <c r="C26" i="15"/>
  <c r="K25" i="15"/>
  <c r="F25" i="15"/>
  <c r="E25" i="15" s="1"/>
  <c r="E29" i="15"/>
  <c r="A15" i="7" l="1"/>
  <c r="A15" i="6" l="1"/>
  <c r="A15" i="16" s="1"/>
  <c r="A14" i="15" s="1"/>
  <c r="A15" i="26"/>
  <c r="A16" i="25"/>
  <c r="A15" i="23"/>
  <c r="A14" i="24"/>
  <c r="A16" i="28"/>
  <c r="B21" i="22"/>
  <c r="A14" i="27"/>
  <c r="A15" i="5" l="1"/>
  <c r="A15" i="22"/>
  <c r="K61" i="15" l="1"/>
  <c r="K63" i="15"/>
  <c r="J63" i="15" l="1"/>
  <c r="D63" i="15" s="1"/>
  <c r="J61" i="15"/>
  <c r="D61" i="15" s="1"/>
  <c r="K24" i="15" l="1"/>
  <c r="J28" i="15" l="1"/>
  <c r="K28" i="15" l="1"/>
  <c r="D28" i="15"/>
  <c r="I30" i="15" l="1"/>
  <c r="I34" i="15" s="1"/>
  <c r="B25" i="22" l="1"/>
  <c r="E30" i="15" l="1"/>
  <c r="F30" i="15"/>
  <c r="H28" i="15" l="1"/>
  <c r="C28" i="15" l="1"/>
  <c r="I63" i="15" l="1"/>
  <c r="H30" i="15"/>
  <c r="D46" i="15" l="1"/>
  <c r="D38" i="15"/>
  <c r="D55" i="15"/>
  <c r="I61" i="15"/>
  <c r="I62" i="15"/>
  <c r="H61" i="15"/>
  <c r="I60" i="15"/>
  <c r="H24" i="15"/>
  <c r="D52" i="15"/>
  <c r="D57" i="15" l="1"/>
  <c r="D50" i="15"/>
  <c r="D42" i="15"/>
  <c r="D54" i="15"/>
  <c r="D45" i="15"/>
  <c r="D37" i="15"/>
  <c r="D56" i="15"/>
  <c r="D47" i="15"/>
  <c r="D39" i="15"/>
  <c r="C62" i="15"/>
  <c r="F62" i="15" s="1"/>
  <c r="E62" i="15" s="1"/>
  <c r="H63" i="15"/>
  <c r="I64" i="15"/>
  <c r="D30" i="15"/>
  <c r="B78" i="22" s="1"/>
  <c r="I28" i="15"/>
  <c r="I24" i="15"/>
  <c r="C24" i="15"/>
  <c r="H29" i="15"/>
  <c r="K62" i="15"/>
  <c r="C60" i="15"/>
  <c r="F60" i="15" s="1"/>
  <c r="E60" i="15" s="1"/>
  <c r="C63" i="15" l="1"/>
  <c r="F63" i="15" s="1"/>
  <c r="E63" i="15" s="1"/>
  <c r="H60" i="15"/>
  <c r="C61" i="15"/>
  <c r="F61" i="15" s="1"/>
  <c r="E61" i="15" s="1"/>
  <c r="H62" i="15"/>
  <c r="K64" i="15"/>
  <c r="K60" i="15"/>
  <c r="I29" i="15"/>
  <c r="C29" i="15"/>
  <c r="C27" i="15" s="1"/>
  <c r="C48" i="7"/>
  <c r="B27" i="22"/>
  <c r="D78" i="22"/>
  <c r="E78" i="22" s="1"/>
  <c r="B77" i="22"/>
  <c r="J60" i="15"/>
  <c r="D60" i="15" s="1"/>
  <c r="J64" i="15"/>
  <c r="D64" i="15" s="1"/>
  <c r="J62" i="15"/>
  <c r="D62" i="15" s="1"/>
  <c r="B59" i="22" l="1"/>
  <c r="B64" i="22"/>
  <c r="B54" i="22"/>
  <c r="B49" i="22"/>
  <c r="B71" i="22" s="1"/>
  <c r="B67" i="22" s="1"/>
  <c r="C64" i="15"/>
  <c r="F64" i="15" s="1"/>
  <c r="E64" i="15" s="1"/>
  <c r="H64" i="15"/>
  <c r="J29" i="15"/>
  <c r="D24" i="15"/>
  <c r="B76" i="22" s="1"/>
  <c r="D76" i="22" l="1"/>
  <c r="B75" i="22"/>
  <c r="K29" i="15"/>
  <c r="D29" i="15"/>
  <c r="J24" i="15" l="1"/>
  <c r="D27" i="15" s="1"/>
  <c r="E24" i="15" l="1"/>
  <c r="F24" i="15"/>
  <c r="F27" i="15" s="1"/>
  <c r="E27" i="15" s="1"/>
  <c r="I39" i="15" l="1"/>
  <c r="I47" i="15"/>
  <c r="I49" i="15"/>
  <c r="I41" i="15"/>
  <c r="I48" i="15"/>
  <c r="I40" i="15"/>
  <c r="J39" i="15"/>
  <c r="J47" i="15"/>
  <c r="H39" i="15"/>
  <c r="F39" i="15" s="1"/>
  <c r="E39" i="15" s="1"/>
  <c r="H47" i="15"/>
  <c r="F47" i="15" s="1"/>
  <c r="E47" i="15" s="1"/>
  <c r="H49" i="15"/>
  <c r="F49" i="15" s="1"/>
  <c r="E49" i="15" s="1"/>
  <c r="H41" i="15"/>
  <c r="F41" i="15" s="1"/>
  <c r="E41" i="15" s="1"/>
  <c r="H48" i="15"/>
  <c r="F48" i="15" s="1"/>
  <c r="E48" i="15" s="1"/>
  <c r="H40" i="15"/>
  <c r="F40" i="15" s="1"/>
  <c r="E40" i="15" s="1"/>
  <c r="K39" i="15"/>
  <c r="K47" i="15"/>
  <c r="J40" i="15"/>
  <c r="J48" i="15"/>
  <c r="K41" i="15"/>
  <c r="K49" i="15"/>
  <c r="J49" i="15"/>
  <c r="J41" i="15"/>
  <c r="K40" i="15"/>
  <c r="K48" i="15"/>
  <c r="J33" i="15" l="1"/>
  <c r="K30" i="15"/>
  <c r="J31" i="15"/>
  <c r="K31" i="15" s="1"/>
  <c r="J30" i="15"/>
  <c r="J32" i="15"/>
  <c r="K32" i="15" s="1"/>
  <c r="J34" i="15"/>
  <c r="K34" i="15" s="1"/>
  <c r="K33" i="15" l="1"/>
  <c r="K52" i="15" l="1"/>
  <c r="J56" i="15"/>
  <c r="J52" i="15"/>
  <c r="K56" i="15"/>
  <c r="I52" i="15"/>
  <c r="I56" i="15"/>
  <c r="H52" i="15"/>
  <c r="F52" i="15" s="1"/>
  <c r="E52" i="15" s="1"/>
  <c r="H56" i="15"/>
  <c r="F56" i="15" s="1"/>
  <c r="E56" i="15" s="1"/>
  <c r="H44" i="15" l="1"/>
  <c r="F44" i="15" s="1"/>
  <c r="E44" i="15" s="1"/>
  <c r="H53" i="15"/>
  <c r="F53" i="15" s="1"/>
  <c r="E53" i="15" s="1"/>
  <c r="H36" i="15"/>
  <c r="F36" i="15" s="1"/>
  <c r="E36" i="15" s="1"/>
  <c r="H55" i="15"/>
  <c r="F55" i="15" s="1"/>
  <c r="E55" i="15" s="1"/>
  <c r="H38" i="15"/>
  <c r="F38" i="15" s="1"/>
  <c r="E38" i="15" s="1"/>
  <c r="H46" i="15"/>
  <c r="F46" i="15" s="1"/>
  <c r="E46" i="15" s="1"/>
  <c r="H50" i="15"/>
  <c r="F50" i="15" s="1"/>
  <c r="E50" i="15" s="1"/>
  <c r="H57" i="15"/>
  <c r="F57" i="15" s="1"/>
  <c r="E57" i="15" s="1"/>
  <c r="H37" i="15"/>
  <c r="F37" i="15" s="1"/>
  <c r="E37" i="15" s="1"/>
  <c r="H54" i="15"/>
  <c r="F54" i="15" s="1"/>
  <c r="E54" i="15" s="1"/>
  <c r="H45" i="15"/>
  <c r="F45" i="15" s="1"/>
  <c r="E45" i="15" s="1"/>
  <c r="I53" i="15"/>
  <c r="I36" i="15"/>
  <c r="I44" i="15"/>
  <c r="I57" i="15"/>
  <c r="I50" i="15"/>
  <c r="I37" i="15"/>
  <c r="I54" i="15"/>
  <c r="I45" i="15"/>
  <c r="K55" i="15"/>
  <c r="K46" i="15"/>
  <c r="K38" i="15"/>
  <c r="J46" i="15"/>
  <c r="J55" i="15"/>
  <c r="J38" i="15"/>
  <c r="I46" i="15"/>
  <c r="I38" i="15"/>
  <c r="I55" i="15"/>
  <c r="K36" i="15"/>
  <c r="K53" i="15"/>
  <c r="K44" i="15"/>
  <c r="J54" i="15"/>
  <c r="J37" i="15"/>
  <c r="J45" i="15"/>
  <c r="K57" i="15"/>
  <c r="K50" i="15"/>
  <c r="J57" i="15"/>
  <c r="J50" i="15"/>
  <c r="K37" i="15"/>
  <c r="K54" i="15"/>
  <c r="K45" i="15"/>
  <c r="J36" i="15"/>
  <c r="J53" i="15"/>
  <c r="J44" i="15"/>
  <c r="H42" i="15"/>
  <c r="F42" i="15" s="1"/>
  <c r="E42" i="15" s="1"/>
  <c r="I42" i="15"/>
  <c r="K42" i="15"/>
  <c r="J42" i="15"/>
</calcChain>
</file>

<file path=xl/sharedStrings.xml><?xml version="1.0" encoding="utf-8"?>
<sst xmlns="http://schemas.openxmlformats.org/spreadsheetml/2006/main" count="1240" uniqueCount="540">
  <si>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</si>
  <si>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</si>
  <si>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</si>
  <si>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</si>
  <si>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</si>
  <si>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</si>
  <si>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</si>
  <si>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</si>
  <si>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</si>
  <si>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</si>
  <si>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</si>
  <si>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</si>
  <si>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</si>
  <si>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</si>
  <si>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</si>
  <si>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</si>
  <si>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</si>
  <si>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</si>
  <si>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</si>
  <si>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</si>
  <si>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</si>
  <si>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</si>
  <si>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</si>
  <si>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</si>
  <si>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</si>
  <si>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</si>
  <si>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</si>
  <si>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</si>
  <si>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</si>
  <si>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</si>
  <si>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</si>
  <si>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</si>
  <si>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</si>
  <si>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</si>
  <si>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</si>
  <si>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</si>
  <si>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</si>
  <si>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</si>
  <si>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</si>
  <si>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</si>
  <si>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</si>
  <si>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</si>
  <si>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</si>
  <si>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</si>
  <si>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</si>
  <si>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</si>
  <si>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</si>
  <si>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</si>
  <si>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</si>
  <si>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</si>
  <si>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</si>
  <si>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</si>
  <si>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</si>
  <si>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</si>
  <si>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</si>
  <si>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</si>
  <si>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</si>
  <si>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</si>
  <si>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</si>
  <si>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</si>
  <si>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</si>
  <si>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</si>
  <si>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</si>
  <si>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</si>
  <si>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</si>
  <si>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</si>
  <si>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</si>
  <si>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</si>
  <si>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</si>
  <si>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</si>
  <si>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</si>
  <si>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</si>
  <si>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</si>
  <si>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</si>
  <si>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</si>
  <si>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</si>
  <si>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</si>
  <si>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</si>
  <si>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</si>
  <si>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</si>
  <si>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</si>
  <si>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</si>
  <si>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</si>
  <si>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</si>
  <si>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</si>
  <si>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</si>
  <si>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</si>
  <si>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</si>
  <si>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</si>
  <si>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</si>
  <si>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</si>
  <si>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</si>
  <si>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</si>
  <si>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</si>
  <si>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</si>
  <si>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</si>
  <si>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</si>
  <si>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</si>
  <si>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</si>
  <si>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</si>
  <si>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</si>
  <si>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</si>
  <si>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</si>
  <si>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</si>
  <si>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</si>
  <si>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</si>
  <si>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</si>
  <si>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</si>
  <si>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</si>
  <si>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</si>
  <si>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</si>
  <si>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</si>
  <si>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</si>
  <si>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</si>
  <si>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</si>
  <si>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</si>
  <si>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</si>
  <si>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</si>
  <si>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</si>
  <si>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</si>
  <si>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</si>
  <si>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</si>
  <si>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</si>
  <si>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</si>
  <si>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</si>
  <si>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</si>
  <si>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</si>
  <si>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</si>
  <si>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</si>
  <si>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</si>
  <si>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</si>
  <si>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</si>
  <si>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</si>
  <si>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</si>
  <si>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</si>
  <si>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</si>
  <si>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</si>
  <si>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</si>
  <si>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</si>
  <si>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</si>
  <si>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</si>
  <si>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</si>
  <si>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</si>
  <si>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</si>
  <si>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</si>
  <si>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</si>
  <si>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</si>
  <si>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</si>
  <si>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</si>
  <si>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</si>
  <si>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</si>
  <si>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</si>
  <si>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</si>
  <si>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</si>
  <si>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</si>
  <si>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</si>
  <si>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</si>
  <si>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</si>
  <si>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</si>
  <si>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</si>
  <si>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</si>
  <si>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</si>
  <si>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</si>
  <si>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</si>
  <si>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</si>
  <si>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</si>
  <si>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</si>
  <si>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</si>
  <si>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</si>
  <si>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</si>
  <si>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</si>
  <si>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</si>
  <si>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</si>
  <si>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</si>
  <si>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</si>
  <si>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</si>
  <si>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</si>
  <si>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</si>
  <si>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</si>
  <si>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</si>
  <si>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</si>
  <si>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</si>
  <si>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</si>
  <si>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</si>
  <si>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</si>
  <si>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</si>
  <si>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</si>
  <si>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</si>
  <si>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</si>
  <si>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</si>
  <si>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</si>
  <si>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</si>
  <si>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</si>
  <si>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</si>
  <si>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</si>
  <si>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</si>
  <si>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</si>
  <si>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</si>
  <si>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</si>
  <si>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</si>
  <si>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</si>
  <si>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</si>
  <si>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</si>
  <si>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</si>
  <si>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</si>
  <si>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</si>
  <si>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</si>
  <si>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</si>
  <si>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</si>
  <si>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</si>
  <si>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</si>
  <si>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</si>
  <si>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</si>
  <si>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</si>
  <si>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</si>
  <si>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</si>
  <si>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</si>
  <si>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</si>
  <si>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</si>
  <si>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</si>
  <si>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</si>
  <si>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</si>
  <si>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</si>
  <si>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</si>
  <si>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</si>
  <si>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</si>
  <si>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</si>
  <si>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</si>
  <si>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</si>
  <si>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</si>
  <si>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</si>
  <si>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</si>
  <si>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</si>
  <si>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</si>
  <si>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</si>
  <si>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</si>
  <si>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</si>
  <si>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</si>
  <si>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</si>
  <si>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</si>
  <si>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</si>
  <si>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</si>
  <si>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</si>
  <si>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</si>
  <si>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</si>
  <si>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</si>
  <si>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</si>
  <si>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</si>
  <si>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</si>
  <si>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</si>
  <si>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</si>
  <si>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</si>
  <si>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</si>
  <si>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</si>
  <si>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</si>
  <si>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</si>
  <si>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</si>
  <si>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</si>
  <si>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</si>
  <si>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</si>
  <si>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</si>
  <si>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</si>
  <si>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</si>
  <si>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</si>
  <si>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</si>
  <si>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</si>
  <si>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</si>
  <si>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</si>
  <si>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</si>
  <si>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</si>
  <si>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</si>
  <si>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</si>
  <si>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</si>
  <si>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</si>
  <si>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</si>
  <si>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</si>
  <si>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</si>
  <si>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</si>
  <si>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</si>
  <si>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</si>
  <si>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</si>
  <si>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</si>
  <si>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</si>
  <si>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</si>
  <si>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</si>
  <si>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</si>
  <si>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</si>
  <si>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</si>
  <si>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</si>
  <si>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</si>
  <si>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</si>
  <si>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</si>
  <si>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</si>
  <si>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</si>
  <si>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</si>
  <si>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</si>
  <si>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</si>
  <si>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</si>
  <si>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</si>
  <si>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</si>
  <si>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</si>
  <si>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</si>
  <si>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</si>
  <si>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</si>
  <si>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</si>
  <si>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</si>
  <si>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</si>
  <si>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</si>
  <si>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</si>
  <si>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</si>
  <si>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</si>
  <si>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</si>
  <si>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</si>
  <si>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</si>
  <si>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</si>
  <si>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</si>
  <si>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</si>
  <si>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</si>
  <si>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</si>
  <si>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</si>
  <si>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</si>
  <si>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</si>
  <si>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</si>
  <si>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</si>
  <si>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</si>
  <si>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</si>
  <si>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</si>
  <si>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</si>
  <si>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</si>
  <si>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</si>
  <si>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</si>
  <si>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</si>
  <si>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</si>
  <si>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</si>
  <si>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</si>
  <si>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</si>
  <si>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</si>
  <si>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</si>
  <si>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</si>
  <si>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</si>
  <si>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</si>
  <si>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</si>
  <si>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</si>
  <si>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</si>
  <si>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</si>
  <si>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</si>
  <si>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</si>
  <si>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</si>
  <si>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</si>
  <si>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</si>
  <si>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</si>
  <si>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</si>
  <si>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</si>
  <si>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</si>
  <si>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</si>
  <si>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</si>
  <si>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</si>
  <si>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</si>
  <si>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</si>
  <si>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</si>
  <si>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</si>
  <si>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</si>
  <si>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</si>
  <si>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</si>
  <si>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</si>
  <si>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</si>
  <si>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</si>
  <si>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</si>
  <si>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</si>
  <si>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</si>
  <si>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</si>
  <si>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</si>
  <si>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</si>
  <si>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</si>
  <si>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</si>
  <si>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</si>
  <si>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</si>
  <si>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</si>
  <si>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</si>
  <si>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</si>
  <si>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</si>
  <si>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</si>
  <si>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</si>
  <si>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</si>
  <si>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</si>
  <si>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</si>
  <si>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</si>
  <si>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</si>
  <si>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</si>
  <si>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</si>
  <si>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</si>
  <si>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</si>
  <si>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</si>
  <si>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</si>
  <si>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</si>
  <si>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</si>
  <si>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</si>
  <si>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</si>
  <si>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</si>
  <si>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</si>
  <si>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</si>
  <si>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</si>
  <si>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</si>
  <si>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</si>
  <si>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</si>
  <si>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</si>
  <si>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</si>
  <si>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</si>
  <si>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</si>
  <si>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</si>
  <si>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</si>
  <si>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</si>
  <si>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</si>
  <si>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</si>
  <si>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</si>
  <si>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</si>
  <si>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</si>
  <si>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</si>
  <si>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</si>
  <si>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</si>
  <si>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</si>
  <si>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</si>
  <si>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</si>
  <si>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</si>
  <si>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</si>
  <si>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</si>
  <si>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</si>
  <si>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</si>
  <si>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</si>
  <si>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</si>
  <si>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</si>
  <si>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</si>
  <si>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</si>
  <si>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</si>
  <si>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</si>
  <si>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</si>
  <si>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</si>
  <si>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</si>
  <si>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</si>
  <si>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</si>
  <si>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</si>
  <si>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</si>
  <si>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</si>
  <si>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</si>
  <si>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</si>
  <si>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</si>
  <si>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</si>
  <si>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</si>
  <si>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</si>
  <si>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</si>
  <si>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</si>
  <si>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</si>
  <si>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</si>
  <si>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</si>
  <si>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</si>
  <si>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</si>
  <si>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</si>
  <si>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</si>
  <si>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</si>
  <si>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</si>
  <si>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</si>
  <si>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</si>
  <si>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</si>
  <si>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</si>
  <si>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M_Che442</t>
  </si>
  <si>
    <t>Строительство ПС 110 кВ Ведучи с установкой двух силовых трансформаторов 110/10 кВ с устройствами АРН мощностью по 10 МВА каждый. 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</si>
  <si>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с. Ведучи, Итум-Калинский район</t>
  </si>
  <si>
    <t>линейная ячейка 10 кВ I и II СШ РУ-10 кВ проектируемой ПС 110 кВ Ведучи</t>
  </si>
  <si>
    <t>№14769/2021/ЧЭ/ИКРЭС 24.12.2021</t>
  </si>
  <si>
    <t>в работе</t>
  </si>
  <si>
    <t>ВТРК "Ведучи"</t>
  </si>
  <si>
    <t>Строительство ПС 110 кВ Ведучи с установкой двух силовых трансформаторов 110/10 кВ с устройствами АРН мощностью по 10 МВА каждый. 
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</si>
  <si>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ПС 110 кВ Ведучи</t>
  </si>
  <si>
    <t>2 силовых трансформатора 110/10 кВ с устройствами АРН мощностью по 10 МВА</t>
  </si>
  <si>
    <t xml:space="preserve">Т 110/10 2х10000 кВа,  Iном 2500,                   Iоткл.40 кА   </t>
  </si>
  <si>
    <t>ВЛ 110 кВ ПС 110 кВ Цемзавод - ПС 110 кВ Ведучи</t>
  </si>
  <si>
    <t>АС-120</t>
  </si>
  <si>
    <t>ВЛ</t>
  </si>
  <si>
    <t>многогранные опоры</t>
  </si>
  <si>
    <t>Проект реализуется в целях исполнения обязательств по договору технологического присоединения от 24.12.2021 № 14769/2021/ЧЭ/ИКРЭС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</si>
  <si>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</si>
  <si>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</si>
  <si>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</si>
  <si>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</si>
  <si>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</si>
  <si>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101 201,73 101 252,36</t>
  </si>
  <si>
    <t xml:space="preserve">ООО "ФИРМА ОРГРЭС" </t>
  </si>
  <si>
    <t>rosseti.roseltorg.ru</t>
  </si>
  <si>
    <t>Закупка у ЕИ  не осуществлялась</t>
  </si>
  <si>
    <t>ООО "Фирма ОРГРЭС" № 03-2022-ПИР-ЧЭ от 14.07.2022</t>
  </si>
  <si>
    <t>ООО "Фирма ОРГРЭС"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</si>
  <si>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</si>
  <si>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</si>
  <si>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</si>
  <si>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</si>
  <si>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</si>
  <si>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</si>
  <si>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- 20 МВт. 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- 70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</si>
  <si>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</si>
  <si>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</si>
  <si>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</si>
  <si>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</si>
  <si>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86,09 млн.руб./МВА. 24,6 млн.руб./км.</t>
  </si>
  <si>
    <t>п</t>
  </si>
  <si>
    <t>20 МВА (70 МВА)  70 км (20 км)</t>
  </si>
  <si>
    <t>Проектирование</t>
  </si>
  <si>
    <t>Итого за год (нарастающим итогом)</t>
  </si>
  <si>
    <t>за текущий квартал</t>
  </si>
  <si>
    <t>объем заключенного договора в ценах _2023_ года с НДС, млн. руб.</t>
  </si>
  <si>
    <t>ООО "Фирма ОРГРЭС" № 12-2023-РД-ЧЭ от 30.08.2023г.</t>
  </si>
  <si>
    <t>объем заключенного договора в ценах 2023 года с НДС, млн. руб.</t>
  </si>
  <si>
    <t>АО "Россети ЦТЗ" № 32-2023-СК-ЧЭ от 18.12.2023г.</t>
  </si>
  <si>
    <t>АО "Россети ЦТЗ" № 33-2023-СК-ЧЭ от 18.12.2023г.</t>
  </si>
  <si>
    <t>СМР</t>
  </si>
  <si>
    <t>Процедура                              №32312947807</t>
  </si>
  <si>
    <t>строительный контроль</t>
  </si>
  <si>
    <t>объем заключенного договора в ценах 2022 года с НДС, млн. руб.</t>
  </si>
  <si>
    <t>Договор от 14.07.2022 № 03-2022-ПИР-ЧЭ</t>
  </si>
  <si>
    <t>ООО "Фирма ОРГРЭС" № 28-2023-СМР-СМР-ЧЭ от 15.12.2023</t>
  </si>
  <si>
    <t>ООО "Фирма ОРГРЭС" № 27-2023-СМР-СМР-ЧЭ от 15.12.2023</t>
  </si>
  <si>
    <t>прочее</t>
  </si>
  <si>
    <t>услуги</t>
  </si>
  <si>
    <t>разработка рабочей документции</t>
  </si>
  <si>
    <t>СР</t>
  </si>
  <si>
    <t>конкурс</t>
  </si>
  <si>
    <t>https://rosseti.roseltorg.ru/.</t>
  </si>
  <si>
    <t>ООО "Фирма ОРГРЭС" № 12-2023-РД-ЧЭ от 30.08.2023</t>
  </si>
  <si>
    <t>ООО "Фирма ОРГРЭС" № 27-2023-СМР-ЧЭ от 15.12.2023</t>
  </si>
  <si>
    <t>ООО "Фирма ОРГРЭС" № 28-2023-СМР-ЧЭ от 15.12.2023г</t>
  </si>
  <si>
    <t>СМР (Строительство двухцепной ВЛ 110 кВ от проектируемых линейных ячеек 110 кВ на ПС 110 кВ Цемзавод до ПС 110 кВ Ведучи ориентировочной протяжностью 70 км проводом марки АС-120)</t>
  </si>
  <si>
    <t>СМР (Строительство ПС 110 кВ Ведучи с установкой двух силовых трансформаторов 110/10 кВ с устройствами АРН мощностью по 10 МВА)</t>
  </si>
  <si>
    <t>Договор от 18.12.2023.г. № 32-2023-СК-ЧЭ заключен с взаимозависимым лицом на осоновании решения Совета директоров (протокол от 20.10.2022 № 509)</t>
  </si>
  <si>
    <t>АО "Россети ЦТЗ"</t>
  </si>
  <si>
    <t>отсутствуют</t>
  </si>
  <si>
    <t>Без использования функционала ЭТП</t>
  </si>
  <si>
    <t>Договор от 18.12.2023.г. № 33-2023-СК-ЧЭ заключен с взаимозависимым лицом на осоновании решения Совета директоров (протокол от 20.10.2022 № 509)</t>
  </si>
  <si>
    <t>Факт 2023 года</t>
  </si>
  <si>
    <t xml:space="preserve">2024 год </t>
  </si>
  <si>
    <t xml:space="preserve"> по состоянию на 01.01.2023</t>
  </si>
  <si>
    <t>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</si>
</sst>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;[Red]#,##0.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366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46" fillId="0" borderId="0" xfId="57" applyFont="1" applyFill="1" applyAlignment="1">
      <alignment vertical="center"/>
    </xf>
    <xf numFmtId="0" fontId="36" fillId="0" borderId="0" xfId="57" applyFont="1" applyFill="1" applyAlignment="1">
      <alignment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1" xfId="43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37" fillId="24" borderId="10" xfId="41" applyFont="1" applyFill="1" applyBorder="1" applyAlignment="1">
      <alignment horizontal="left" vertical="center"/>
    </xf>
    <xf numFmtId="0" fontId="37" fillId="24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7" fillId="0" borderId="10" xfId="53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/>
    </xf>
    <xf numFmtId="9" fontId="37" fillId="0" borderId="10" xfId="65" applyFont="1" applyFill="1" applyBorder="1" applyAlignment="1">
      <alignment horizontal="justify" vertical="center"/>
    </xf>
    <xf numFmtId="9" fontId="37" fillId="0" borderId="10" xfId="65" applyNumberFormat="1" applyFont="1" applyFill="1" applyBorder="1" applyAlignment="1">
      <alignment horizontal="justify" vertical="center"/>
    </xf>
    <xf numFmtId="0" fontId="34" fillId="24" borderId="10" xfId="53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vertical="center" wrapText="1"/>
    </xf>
    <xf numFmtId="0" fontId="58" fillId="0" borderId="10" xfId="0" applyFont="1" applyBorder="1" applyAlignment="1">
      <alignment vertical="center" wrapText="1"/>
    </xf>
    <xf numFmtId="2" fontId="58" fillId="0" borderId="10" xfId="0" applyNumberFormat="1" applyFont="1" applyBorder="1" applyAlignment="1">
      <alignment vertical="center" wrapText="1"/>
    </xf>
    <xf numFmtId="169" fontId="34" fillId="0" borderId="10" xfId="53" applyNumberFormat="1" applyFont="1" applyFill="1" applyBorder="1" applyAlignment="1">
      <alignment horizontal="center" vertical="center" wrapText="1"/>
    </xf>
    <xf numFmtId="14" fontId="59" fillId="0" borderId="10" xfId="53" applyNumberFormat="1" applyFont="1" applyFill="1" applyBorder="1" applyAlignment="1">
      <alignment horizontal="center" vertical="center"/>
    </xf>
    <xf numFmtId="0" fontId="38" fillId="0" borderId="10" xfId="43" applyFont="1" applyFill="1" applyBorder="1" applyAlignment="1">
      <alignment horizontal="justify" vertical="center" wrapText="1"/>
    </xf>
    <xf numFmtId="2" fontId="38" fillId="0" borderId="10" xfId="43" applyNumberFormat="1" applyFont="1" applyFill="1" applyBorder="1" applyAlignment="1">
      <alignment horizontal="justify" vertical="center"/>
    </xf>
    <xf numFmtId="2" fontId="38" fillId="0" borderId="10" xfId="65" applyNumberFormat="1" applyFont="1" applyFill="1" applyBorder="1" applyAlignment="1">
      <alignment horizontal="justify"/>
    </xf>
    <xf numFmtId="0" fontId="65" fillId="0" borderId="10" xfId="77" applyFill="1" applyBorder="1" applyAlignment="1">
      <alignment vertical="center" wrapText="1"/>
    </xf>
    <xf numFmtId="0" fontId="34" fillId="0" borderId="10" xfId="53" applyFont="1" applyFill="1" applyBorder="1" applyAlignment="1">
      <alignment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 wrapText="1"/>
    </xf>
    <xf numFmtId="14" fontId="6" fillId="0" borderId="10" xfId="47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2" fontId="58" fillId="0" borderId="10" xfId="43" applyNumberFormat="1" applyFont="1" applyFill="1" applyBorder="1" applyAlignment="1">
      <alignment horizontal="center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14" fontId="58" fillId="0" borderId="30" xfId="0" applyNumberFormat="1" applyFont="1" applyBorder="1" applyAlignment="1">
      <alignment horizontal="center" vertical="center" wrapText="1" readingOrder="1"/>
    </xf>
    <xf numFmtId="14" fontId="6" fillId="0" borderId="30" xfId="47" applyNumberFormat="1" applyFont="1" applyBorder="1" applyAlignment="1">
      <alignment horizontal="center" vertical="center" wrapText="1" readingOrder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2" fontId="58" fillId="0" borderId="21" xfId="57" applyNumberFormat="1" applyFont="1" applyFill="1" applyBorder="1" applyAlignment="1">
      <alignment horizontal="center" vertical="center" wrapText="1"/>
    </xf>
    <xf numFmtId="2" fontId="58" fillId="0" borderId="23" xfId="57" applyNumberFormat="1" applyFont="1" applyFill="1" applyBorder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4" fillId="0" borderId="0" xfId="57" applyFont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6" fillId="0" borderId="0" xfId="57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2" fontId="37" fillId="0" borderId="14" xfId="53" applyNumberFormat="1" applyFont="1" applyFill="1" applyBorder="1" applyAlignment="1">
      <alignment horizontal="center" vertical="center" wrapText="1"/>
    </xf>
    <xf numFmtId="2" fontId="37" fillId="0" borderId="13" xfId="53" applyNumberFormat="1" applyFont="1" applyFill="1" applyBorder="1" applyAlignment="1">
      <alignment horizontal="center" vertical="center" wrapText="1"/>
    </xf>
    <xf numFmtId="2" fontId="37" fillId="0" borderId="12" xfId="53" applyNumberFormat="1" applyFont="1" applyFill="1" applyBorder="1" applyAlignment="1">
      <alignment horizontal="center" vertical="center" wrapText="1"/>
    </xf>
    <xf numFmtId="49" fontId="37" fillId="0" borderId="14" xfId="53" applyNumberFormat="1" applyFont="1" applyFill="1" applyBorder="1" applyAlignment="1">
      <alignment horizontal="center" vertical="center" wrapText="1"/>
    </xf>
    <xf numFmtId="49" fontId="37" fillId="0" borderId="13" xfId="53" applyNumberFormat="1" applyFont="1" applyFill="1" applyBorder="1" applyAlignment="1">
      <alignment horizontal="center" vertical="center" wrapText="1"/>
    </xf>
    <xf numFmtId="49" fontId="37" fillId="0" borderId="1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3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7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rosseti.roseltorg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231" t="str">
        <f>'[1]6.2. отчет'!$B$2</f>
        <v>Год раскрытия информации: 2025 год</v>
      </c>
      <c r="B5" s="231"/>
      <c r="C5" s="231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35" t="s">
        <v>5</v>
      </c>
      <c r="B7" s="235"/>
      <c r="C7" s="235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36" t="s">
        <v>287</v>
      </c>
      <c r="B9" s="236"/>
      <c r="C9" s="236"/>
      <c r="D9" s="72"/>
      <c r="E9" s="72"/>
      <c r="F9" s="72"/>
      <c r="G9" s="72"/>
      <c r="H9" s="72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37" t="s">
        <v>4</v>
      </c>
      <c r="B10" s="237"/>
      <c r="C10" s="237"/>
      <c r="D10" s="73"/>
      <c r="E10" s="73"/>
      <c r="F10" s="73"/>
      <c r="G10" s="73"/>
      <c r="H10" s="73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36" t="s">
        <v>464</v>
      </c>
      <c r="B12" s="236"/>
      <c r="C12" s="236"/>
      <c r="D12" s="72"/>
      <c r="E12" s="72"/>
      <c r="F12" s="72"/>
      <c r="G12" s="72"/>
      <c r="H12" s="7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37" t="s">
        <v>3</v>
      </c>
      <c r="B13" s="237"/>
      <c r="C13" s="237"/>
      <c r="D13" s="73"/>
      <c r="E13" s="73"/>
      <c r="F13" s="73"/>
      <c r="G13" s="73"/>
      <c r="H13" s="73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4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5" customFormat="1" ht="53.25" customHeight="1" x14ac:dyDescent="0.2">
      <c r="A15" s="238" t="str">
        <f>VLOOKUP(A12,'[1]6.2. отчет'!$A:$C,3,0)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6"/>
      <c r="C15" s="236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5" customFormat="1" ht="15" customHeight="1" x14ac:dyDescent="0.2">
      <c r="A16" s="232" t="s">
        <v>2</v>
      </c>
      <c r="B16" s="232"/>
      <c r="C16" s="23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5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5" customFormat="1" ht="15" customHeight="1" x14ac:dyDescent="0.2">
      <c r="A18" s="233" t="s">
        <v>279</v>
      </c>
      <c r="B18" s="234"/>
      <c r="C18" s="23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5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5" customFormat="1" ht="39.75" customHeight="1" x14ac:dyDescent="0.2">
      <c r="A20" s="77" t="s">
        <v>1</v>
      </c>
      <c r="B20" s="78" t="s">
        <v>55</v>
      </c>
      <c r="C20" s="79" t="s">
        <v>54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5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5" customFormat="1" ht="39" customHeight="1" x14ac:dyDescent="0.2">
      <c r="A22" s="63" t="s">
        <v>53</v>
      </c>
      <c r="B22" s="82" t="s">
        <v>171</v>
      </c>
      <c r="C22" s="65" t="s">
        <v>491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5" customFormat="1" ht="54.75" customHeight="1" x14ac:dyDescent="0.2">
      <c r="A23" s="63" t="s">
        <v>52</v>
      </c>
      <c r="B23" s="64" t="s">
        <v>446</v>
      </c>
      <c r="C23" s="65" t="s">
        <v>492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5" customFormat="1" ht="22.5" customHeight="1" x14ac:dyDescent="0.2">
      <c r="A24" s="228"/>
      <c r="B24" s="229"/>
      <c r="C24" s="230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5" customFormat="1" ht="58.5" customHeight="1" x14ac:dyDescent="0.2">
      <c r="A25" s="63" t="s">
        <v>51</v>
      </c>
      <c r="B25" s="65" t="s">
        <v>252</v>
      </c>
      <c r="C25" s="77" t="s">
        <v>493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5" customFormat="1" ht="42.75" customHeight="1" x14ac:dyDescent="0.2">
      <c r="A26" s="63" t="s">
        <v>50</v>
      </c>
      <c r="B26" s="65" t="s">
        <v>63</v>
      </c>
      <c r="C26" s="77" t="s">
        <v>494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5" customFormat="1" ht="51.75" customHeight="1" x14ac:dyDescent="0.2">
      <c r="A27" s="63" t="s">
        <v>48</v>
      </c>
      <c r="B27" s="65" t="s">
        <v>62</v>
      </c>
      <c r="C27" s="77" t="s">
        <v>495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5" customFormat="1" ht="42.75" customHeight="1" x14ac:dyDescent="0.2">
      <c r="A28" s="63" t="s">
        <v>47</v>
      </c>
      <c r="B28" s="65" t="s">
        <v>253</v>
      </c>
      <c r="C28" s="77" t="s">
        <v>288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5" customFormat="1" ht="51.75" customHeight="1" x14ac:dyDescent="0.2">
      <c r="A29" s="63" t="s">
        <v>45</v>
      </c>
      <c r="B29" s="65" t="s">
        <v>254</v>
      </c>
      <c r="C29" s="77" t="s">
        <v>288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5" customFormat="1" ht="51.75" customHeight="1" x14ac:dyDescent="0.2">
      <c r="A30" s="63" t="s">
        <v>43</v>
      </c>
      <c r="B30" s="65" t="s">
        <v>255</v>
      </c>
      <c r="C30" s="77" t="s">
        <v>288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5" customFormat="1" ht="51.75" customHeight="1" x14ac:dyDescent="0.2">
      <c r="A31" s="63" t="s">
        <v>61</v>
      </c>
      <c r="B31" s="65" t="s">
        <v>256</v>
      </c>
      <c r="C31" s="77" t="s">
        <v>448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5" customFormat="1" ht="51.75" customHeight="1" x14ac:dyDescent="0.2">
      <c r="A32" s="63" t="s">
        <v>59</v>
      </c>
      <c r="B32" s="65" t="s">
        <v>257</v>
      </c>
      <c r="C32" s="77" t="s">
        <v>448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5" customFormat="1" ht="101.25" customHeight="1" x14ac:dyDescent="0.2">
      <c r="A33" s="63" t="s">
        <v>58</v>
      </c>
      <c r="B33" s="65" t="s">
        <v>258</v>
      </c>
      <c r="C33" s="77" t="s">
        <v>496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3" t="s">
        <v>267</v>
      </c>
      <c r="B34" s="65" t="s">
        <v>259</v>
      </c>
      <c r="C34" s="77" t="s">
        <v>448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7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7" t="s">
        <v>448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7" t="s">
        <v>448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7" t="s">
        <v>448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28"/>
      <c r="B39" s="229"/>
      <c r="C39" s="230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57.5" x14ac:dyDescent="0.25">
      <c r="A40" s="63" t="s">
        <v>264</v>
      </c>
      <c r="B40" s="65" t="s">
        <v>445</v>
      </c>
      <c r="C40" s="77" t="s">
        <v>497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4" t="s">
        <v>270</v>
      </c>
      <c r="B41" s="24" t="s">
        <v>302</v>
      </c>
      <c r="C41" s="77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4" t="s">
        <v>265</v>
      </c>
      <c r="B42" s="24" t="s">
        <v>303</v>
      </c>
      <c r="C42" s="77" t="s">
        <v>498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4" t="s">
        <v>272</v>
      </c>
      <c r="B43" s="24" t="s">
        <v>304</v>
      </c>
      <c r="C43" s="77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4" t="s">
        <v>266</v>
      </c>
      <c r="B44" s="24" t="s">
        <v>305</v>
      </c>
      <c r="C44" s="77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4" t="s">
        <v>306</v>
      </c>
      <c r="B45" s="24" t="s">
        <v>307</v>
      </c>
      <c r="C45" s="77">
        <v>1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4" t="s">
        <v>308</v>
      </c>
      <c r="B46" s="24" t="s">
        <v>280</v>
      </c>
      <c r="C46" s="77" t="s">
        <v>499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4"/>
      <c r="B47" s="24"/>
      <c r="C47" s="35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4" t="s">
        <v>443</v>
      </c>
      <c r="B48" s="24" t="s">
        <v>284</v>
      </c>
      <c r="C48" s="163">
        <f>'6.2. Паспорт фин осв ввод'!C24</f>
        <v>4012.4142746270718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4" t="s">
        <v>444</v>
      </c>
      <c r="B49" s="24" t="s">
        <v>285</v>
      </c>
      <c r="C49" s="163">
        <f>'6.2. Паспорт фин осв ввод'!C30</f>
        <v>3343.6785621892295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3"/>
      <c r="B50" s="83"/>
      <c r="C50" s="83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3"/>
      <c r="B51" s="83"/>
      <c r="C51" s="83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L77"/>
  <sheetViews>
    <sheetView tabSelected="1" topLeftCell="A7" zoomScale="60" zoomScaleNormal="60" zoomScaleSheetLayoutView="75" workbookViewId="0">
      <selection activeCell="C57" sqref="C57"/>
    </sheetView>
  </sheetViews>
  <sheetFormatPr defaultColWidth="12.42578125" defaultRowHeight="15.75" x14ac:dyDescent="0.25"/>
  <cols>
    <col min="1" max="1" width="12.42578125" style="8"/>
    <col min="2" max="2" width="52.7109375" style="8" customWidth="1"/>
    <col min="3" max="11" width="12.42578125" style="8"/>
    <col min="12" max="13" width="14.140625" style="8" bestFit="1" customWidth="1"/>
    <col min="14" max="16384" width="12.425781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231" t="str">
        <f>'1. паспорт местоположение'!$A$5</f>
        <v>Год раскрытия информации: 2025 год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</row>
    <row r="6" spans="1:11" ht="18.75" x14ac:dyDescent="0.25">
      <c r="A6" s="235" t="s">
        <v>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36" t="str">
        <f>'6.1. Паспорт сетевой график'!A9:L9</f>
        <v>АО "Чеченэнерго"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</row>
    <row r="9" spans="1:11" ht="18.75" customHeight="1" x14ac:dyDescent="0.25">
      <c r="A9" s="237" t="s">
        <v>4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</row>
    <row r="10" spans="1:11" x14ac:dyDescent="0.2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x14ac:dyDescent="0.25">
      <c r="A11" s="236" t="str">
        <f>'6.1. Паспорт сетевой график'!A12:L12</f>
        <v>M_Che442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</row>
    <row r="12" spans="1:11" x14ac:dyDescent="0.25">
      <c r="A12" s="237" t="s">
        <v>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</row>
    <row r="13" spans="1:11" ht="16.5" customHeigh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 ht="55.5" customHeight="1" x14ac:dyDescent="0.25">
      <c r="A14" s="238" t="str">
        <f>'6.1. Паспорт сетевой график'!A15:L15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</row>
    <row r="15" spans="1:11" ht="15.75" customHeight="1" x14ac:dyDescent="0.25">
      <c r="A15" s="237" t="s">
        <v>2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</row>
    <row r="16" spans="1:11" x14ac:dyDescent="0.25">
      <c r="A16" s="303"/>
      <c r="B16" s="303"/>
      <c r="C16" s="303"/>
      <c r="D16" s="303"/>
      <c r="E16" s="303"/>
      <c r="F16" s="303"/>
      <c r="G16" s="303"/>
      <c r="H16" s="303"/>
      <c r="I16" s="303"/>
      <c r="J16" s="303"/>
      <c r="K16" s="303"/>
    </row>
    <row r="18" spans="1:12" x14ac:dyDescent="0.25">
      <c r="A18" s="312" t="s">
        <v>274</v>
      </c>
      <c r="B18" s="312"/>
      <c r="C18" s="312"/>
      <c r="D18" s="312"/>
      <c r="E18" s="312"/>
      <c r="F18" s="312"/>
      <c r="G18" s="312"/>
      <c r="H18" s="312"/>
      <c r="I18" s="312"/>
      <c r="J18" s="312"/>
      <c r="K18" s="312"/>
    </row>
    <row r="19" spans="1:12" x14ac:dyDescent="0.25">
      <c r="F19" s="60"/>
    </row>
    <row r="20" spans="1:12" ht="33" customHeight="1" x14ac:dyDescent="0.25">
      <c r="A20" s="307" t="s">
        <v>124</v>
      </c>
      <c r="B20" s="307" t="s">
        <v>123</v>
      </c>
      <c r="C20" s="299" t="s">
        <v>122</v>
      </c>
      <c r="D20" s="300"/>
      <c r="E20" s="308" t="s">
        <v>121</v>
      </c>
      <c r="F20" s="309"/>
      <c r="G20" s="287" t="s">
        <v>536</v>
      </c>
      <c r="H20" s="304" t="s">
        <v>537</v>
      </c>
      <c r="I20" s="305"/>
      <c r="J20" s="305"/>
      <c r="K20" s="306"/>
    </row>
    <row r="21" spans="1:12" ht="87" customHeight="1" x14ac:dyDescent="0.25">
      <c r="A21" s="307"/>
      <c r="B21" s="307"/>
      <c r="C21" s="301"/>
      <c r="D21" s="302"/>
      <c r="E21" s="310"/>
      <c r="F21" s="311"/>
      <c r="G21" s="288"/>
      <c r="H21" s="293" t="s">
        <v>0</v>
      </c>
      <c r="I21" s="294"/>
      <c r="J21" s="293" t="s">
        <v>7</v>
      </c>
      <c r="K21" s="294"/>
    </row>
    <row r="22" spans="1:12" ht="62.25" customHeight="1" x14ac:dyDescent="0.25">
      <c r="A22" s="307"/>
      <c r="B22" s="307"/>
      <c r="C22" s="189" t="s">
        <v>0</v>
      </c>
      <c r="D22" s="189" t="s">
        <v>7</v>
      </c>
      <c r="E22" s="164" t="s">
        <v>538</v>
      </c>
      <c r="F22" s="164" t="s">
        <v>539</v>
      </c>
      <c r="G22" s="289"/>
      <c r="H22" s="165" t="s">
        <v>506</v>
      </c>
      <c r="I22" s="165" t="s">
        <v>507</v>
      </c>
      <c r="J22" s="165" t="s">
        <v>506</v>
      </c>
      <c r="K22" s="165" t="s">
        <v>507</v>
      </c>
    </row>
    <row r="23" spans="1:12" ht="19.5" customHeight="1" x14ac:dyDescent="0.25">
      <c r="A23" s="187">
        <v>1</v>
      </c>
      <c r="B23" s="187">
        <v>2</v>
      </c>
      <c r="C23" s="187">
        <v>3</v>
      </c>
      <c r="D23" s="187">
        <v>4</v>
      </c>
      <c r="E23" s="187">
        <v>5</v>
      </c>
      <c r="F23" s="187">
        <v>6</v>
      </c>
      <c r="G23" s="187">
        <v>7</v>
      </c>
      <c r="H23" s="187">
        <v>8</v>
      </c>
      <c r="I23" s="187">
        <v>9</v>
      </c>
      <c r="J23" s="187">
        <v>10</v>
      </c>
      <c r="K23" s="187">
        <v>11</v>
      </c>
    </row>
    <row r="24" spans="1:12" s="38" customFormat="1" ht="47.25" x14ac:dyDescent="0.25">
      <c r="A24" s="15">
        <v>1</v>
      </c>
      <c r="B24" s="14" t="s">
        <v>120</v>
      </c>
      <c r="C24" s="166">
        <f>VLOOKUP($A$11,'[1]6.2. отчет'!$D:$K,2,0)</f>
        <v>4012.4142746270718</v>
      </c>
      <c r="D24" s="166">
        <f>VLOOKUP($A$11,'[1]6.2. отчет'!$D:$K,5,0)</f>
        <v>2601.7239516700001</v>
      </c>
      <c r="E24" s="221">
        <f>VLOOKUP($A$11,'[1]6.2. отчет'!$D:$K,7,0)</f>
        <v>3945.1561845970718</v>
      </c>
      <c r="F24" s="221">
        <f>VLOOKUP($A$11,'[1]6.2. отчет'!$D:$K,8,0)</f>
        <v>3457.2011648870721</v>
      </c>
      <c r="G24" s="166">
        <f>VLOOKUP($A$11,'[1]6.2. отчет'!$D:$BL,9,0)</f>
        <v>487.95501970999999</v>
      </c>
      <c r="H24" s="166">
        <f>VLOOKUP($A$11,'[1]6.2. отчет'!$D:$BL,15,0)</f>
        <v>2457.7694852097702</v>
      </c>
      <c r="I24" s="166">
        <f>VLOOKUP($A$11,'[1]6.2. отчет'!$D:$CU,45,0)</f>
        <v>763.83811335219139</v>
      </c>
      <c r="J24" s="166">
        <f>VLOOKUP($A$11,'[1]6.2. отчет'!$D:$BL,56,0)</f>
        <v>2046.51084193</v>
      </c>
      <c r="K24" s="166">
        <f>VLOOKUP($A$11,'[1]6.2. отчет'!$D:$CU,86,0)</f>
        <v>532.90869966999992</v>
      </c>
    </row>
    <row r="25" spans="1:12" s="38" customFormat="1" x14ac:dyDescent="0.25">
      <c r="A25" s="13" t="s">
        <v>119</v>
      </c>
      <c r="B25" s="7" t="s">
        <v>118</v>
      </c>
      <c r="C25" s="166">
        <f t="shared" ref="C25:C26" si="0">H25</f>
        <v>0</v>
      </c>
      <c r="D25" s="166">
        <f>G25+J25</f>
        <v>0</v>
      </c>
      <c r="E25" s="221">
        <f t="shared" ref="E25:E28" si="1">F25+G25</f>
        <v>0</v>
      </c>
      <c r="F25" s="221">
        <f t="shared" ref="F25:F26" si="2">J25</f>
        <v>0</v>
      </c>
      <c r="G25" s="166">
        <f>VLOOKUP($A$11,'[1]6.2. отчет'!$D:$BL,10,0)</f>
        <v>0</v>
      </c>
      <c r="H25" s="166">
        <f>VLOOKUP($A$11,'[1]6.2. отчет'!$D:$BL,16,0)</f>
        <v>0</v>
      </c>
      <c r="I25" s="166">
        <f>IF(H25=0,0,VLOOKUP($A$11,'[1]6.2. отчет'!$D:$CU,46,0))</f>
        <v>0</v>
      </c>
      <c r="J25" s="166">
        <f>VLOOKUP($A$11,'[1]6.2. отчет'!$D:$BL,57,0)</f>
        <v>0</v>
      </c>
      <c r="K25" s="166">
        <f>IF(J25=0,0,VLOOKUP($A$11,'[1]6.2. отчет'!$D:$CU,87,0))</f>
        <v>0</v>
      </c>
    </row>
    <row r="26" spans="1:12" s="38" customFormat="1" x14ac:dyDescent="0.25">
      <c r="A26" s="13" t="s">
        <v>117</v>
      </c>
      <c r="B26" s="7" t="s">
        <v>116</v>
      </c>
      <c r="C26" s="166">
        <f t="shared" si="0"/>
        <v>0</v>
      </c>
      <c r="D26" s="166">
        <f>G26+J26</f>
        <v>0</v>
      </c>
      <c r="E26" s="221">
        <f t="shared" si="1"/>
        <v>0</v>
      </c>
      <c r="F26" s="221">
        <f t="shared" si="2"/>
        <v>0</v>
      </c>
      <c r="G26" s="166">
        <f>VLOOKUP($A$11,'[1]6.2. отчет'!$D:$BL,11,0)</f>
        <v>0</v>
      </c>
      <c r="H26" s="166">
        <f>VLOOKUP($A$11,'[1]6.2. отчет'!$D:$BL,17,0)</f>
        <v>0</v>
      </c>
      <c r="I26" s="166">
        <f>IF(H26=0,0,VLOOKUP($A$11,'[1]6.2. отчет'!$D:$CU,47,0))</f>
        <v>0</v>
      </c>
      <c r="J26" s="166">
        <f>VLOOKUP($A$11,'[1]6.2. отчет'!$D:$BL,58,0)</f>
        <v>0</v>
      </c>
      <c r="K26" s="166">
        <f>IF(J26=0,0,VLOOKUP($A$11,'[1]6.2. отчет'!$D:$CU,88,0))</f>
        <v>0</v>
      </c>
    </row>
    <row r="27" spans="1:12" s="38" customFormat="1" ht="31.5" x14ac:dyDescent="0.25">
      <c r="A27" s="13" t="s">
        <v>115</v>
      </c>
      <c r="B27" s="7" t="s">
        <v>225</v>
      </c>
      <c r="C27" s="166">
        <f>IF(C24="нд","нд",C24-(C29+C28+C26+C25))</f>
        <v>1554.6447894173016</v>
      </c>
      <c r="D27" s="166">
        <f>G27+J27+D24-(G24+J24)</f>
        <v>67.258090029999948</v>
      </c>
      <c r="E27" s="221">
        <f>F27+G27</f>
        <v>3457.2011648870721</v>
      </c>
      <c r="F27" s="221">
        <f>F24-(F25+F26+F28+F29)</f>
        <v>3457.2011648870721</v>
      </c>
      <c r="G27" s="166">
        <f>VLOOKUP($A$11,'[1]6.2. отчет'!$D:$BL,12,0)</f>
        <v>0</v>
      </c>
      <c r="H27" s="166">
        <f>VLOOKUP($A$11,'[1]6.2. отчет'!$D:$BL,18,0)</f>
        <v>0</v>
      </c>
      <c r="I27" s="166">
        <f>IF(H27=0,0,VLOOKUP($A$11,'[1]6.2. отчет'!$D:$CU,48,0))</f>
        <v>0</v>
      </c>
      <c r="J27" s="166">
        <f>VLOOKUP($A$11,'[1]6.2. отчет'!$D:$BL,59,0)</f>
        <v>0</v>
      </c>
      <c r="K27" s="166">
        <f>IF(J27=0,0,VLOOKUP($A$11,'[1]6.2. отчет'!$D:$CU,89,0))</f>
        <v>0</v>
      </c>
    </row>
    <row r="28" spans="1:12" s="38" customFormat="1" x14ac:dyDescent="0.25">
      <c r="A28" s="13" t="s">
        <v>114</v>
      </c>
      <c r="B28" s="7" t="s">
        <v>113</v>
      </c>
      <c r="C28" s="166">
        <f>H28</f>
        <v>2457.7694852097702</v>
      </c>
      <c r="D28" s="166">
        <f t="shared" ref="D28:D29" si="3">G28+J28</f>
        <v>2534.4658616400002</v>
      </c>
      <c r="E28" s="221">
        <f t="shared" si="1"/>
        <v>487.95501970999999</v>
      </c>
      <c r="F28" s="221">
        <v>0</v>
      </c>
      <c r="G28" s="166">
        <f>VLOOKUP($A$11,'[1]6.2. отчет'!$D:$BL,13,0)</f>
        <v>487.95501970999999</v>
      </c>
      <c r="H28" s="166">
        <f>VLOOKUP($A$11,'[1]6.2. отчет'!$D:$BL,19,0)</f>
        <v>2457.7694852097702</v>
      </c>
      <c r="I28" s="166">
        <f>IF(H28=0,0,VLOOKUP($A$11,'[1]6.2. отчет'!$D:$CU,49,0))</f>
        <v>763.83811335219139</v>
      </c>
      <c r="J28" s="166">
        <f>VLOOKUP($A$11,'[1]6.2. отчет'!$D:$BL,60,0)</f>
        <v>2046.51084193</v>
      </c>
      <c r="K28" s="166">
        <f>IF(J28=0,0,VLOOKUP($A$11,'[1]6.2. отчет'!$D:$CU,90,0))</f>
        <v>532.90869966999992</v>
      </c>
    </row>
    <row r="29" spans="1:12" s="38" customFormat="1" x14ac:dyDescent="0.25">
      <c r="A29" s="13" t="s">
        <v>112</v>
      </c>
      <c r="B29" s="16" t="s">
        <v>111</v>
      </c>
      <c r="C29" s="166">
        <f>H29</f>
        <v>0</v>
      </c>
      <c r="D29" s="166">
        <f t="shared" si="3"/>
        <v>0</v>
      </c>
      <c r="E29" s="221">
        <f>F29+G29</f>
        <v>0</v>
      </c>
      <c r="F29" s="221">
        <v>0</v>
      </c>
      <c r="G29" s="166">
        <f>VLOOKUP($A$11,'[1]6.2. отчет'!$D:$BL,14,0)</f>
        <v>0</v>
      </c>
      <c r="H29" s="166">
        <f>VLOOKUP($A$11,'[1]6.2. отчет'!$D:$BL,20,0)</f>
        <v>0</v>
      </c>
      <c r="I29" s="166">
        <f>IF(H29=0,0,VLOOKUP($A$11,'[1]6.2. отчет'!$D:$CU,50,0))</f>
        <v>0</v>
      </c>
      <c r="J29" s="166">
        <f>VLOOKUP($A$11,'[1]6.2. отчет'!$D:$BL,61,0)</f>
        <v>0</v>
      </c>
      <c r="K29" s="166">
        <f>IF(J29=0,0,VLOOKUP($A$11,'[1]6.2. отчет'!$D:$CU,91,0))</f>
        <v>0</v>
      </c>
    </row>
    <row r="30" spans="1:12" s="38" customFormat="1" ht="47.25" x14ac:dyDescent="0.25">
      <c r="A30" s="15" t="s">
        <v>52</v>
      </c>
      <c r="B30" s="14" t="s">
        <v>110</v>
      </c>
      <c r="C30" s="166">
        <f>VLOOKUP($A$11,'[1]6.2. отчет'!$D:$DB,99,0)</f>
        <v>3343.6785621892295</v>
      </c>
      <c r="D30" s="166">
        <f>VLOOKUP($A$11,'[1]6.2. отчет'!$D:$FK,106,0)</f>
        <v>1559.57289395</v>
      </c>
      <c r="E30" s="221">
        <f>VLOOKUP($A$11,'[1]6.2. отчет'!$D:$FK,108,0)</f>
        <v>3242.4768278892298</v>
      </c>
      <c r="F30" s="221">
        <f>VLOOKUP($A$11,'[1]6.2. отчет'!$D:$FK,109,0)</f>
        <v>2949.9464785892296</v>
      </c>
      <c r="G30" s="166">
        <f>VLOOKUP($A$11,'[1]6.2. отчет'!$D:$FK,110,0)</f>
        <v>292.53034930000001</v>
      </c>
      <c r="H30" s="166">
        <f>VLOOKUP($A$11,'[1]6.2. отчет'!$D:$FK,115,0)</f>
        <v>2949.9464785892296</v>
      </c>
      <c r="I30" s="166">
        <f>VLOOKUP($A$11,'[1]6.2. отчет'!$D:$AGP,124,0)</f>
        <v>1875.9834898097556</v>
      </c>
      <c r="J30" s="166">
        <f>VLOOKUP($A$11,'[1]6.2. отчет'!$D:$FK,130,0)</f>
        <v>1165.8408103500001</v>
      </c>
      <c r="K30" s="166">
        <f>VLOOKUP($A$11,'[1]6.2. отчет'!$D:$FK,155,0)</f>
        <v>216.07530037999999</v>
      </c>
      <c r="L30" s="214"/>
    </row>
    <row r="31" spans="1:12" s="38" customFormat="1" x14ac:dyDescent="0.25">
      <c r="A31" s="15" t="s">
        <v>109</v>
      </c>
      <c r="B31" s="7" t="s">
        <v>108</v>
      </c>
      <c r="C31" s="166">
        <f>VLOOKUP($A$11,'[1]6.2. отчет'!$D:$DB,100,0)</f>
        <v>117.60494</v>
      </c>
      <c r="D31" s="166">
        <v>116.81243429999999</v>
      </c>
      <c r="E31" s="221">
        <f>F31+G31</f>
        <v>16.403205700000008</v>
      </c>
      <c r="F31" s="221">
        <v>0.79250570000000664</v>
      </c>
      <c r="G31" s="166">
        <f>VLOOKUP($A$11,'[1]6.2. отчет'!$D:$FK,111,0)</f>
        <v>15.6107</v>
      </c>
      <c r="H31" s="166">
        <v>0.79250570000000664</v>
      </c>
      <c r="I31" s="166">
        <v>0</v>
      </c>
      <c r="J31" s="166">
        <f>VLOOKUP($A$11,'[1]6.2. отчет'!$D:$FK,131,0)</f>
        <v>0</v>
      </c>
      <c r="K31" s="166">
        <f>IF(J31=0,0,VLOOKUP($A$11,'[1]6.2. отчет'!$D:$FK,156,0))</f>
        <v>0</v>
      </c>
      <c r="L31" s="214"/>
    </row>
    <row r="32" spans="1:12" s="38" customFormat="1" ht="31.5" x14ac:dyDescent="0.25">
      <c r="A32" s="15" t="s">
        <v>107</v>
      </c>
      <c r="B32" s="7" t="s">
        <v>106</v>
      </c>
      <c r="C32" s="166">
        <f>VLOOKUP($A$11,'[1]6.2. отчет'!$D:$DB,101,0)</f>
        <v>2641.2774899999999</v>
      </c>
      <c r="D32" s="166">
        <v>951.82141775000002</v>
      </c>
      <c r="E32" s="221">
        <f t="shared" ref="E32:E34" si="4">F32+G32</f>
        <v>2641.2774899999999</v>
      </c>
      <c r="F32" s="221">
        <v>2367.2034091599999</v>
      </c>
      <c r="G32" s="166">
        <f>VLOOKUP($A$11,'[1]6.2. отчет'!$D:$FK,112,0)</f>
        <v>274.07408084000002</v>
      </c>
      <c r="H32" s="166">
        <v>2367.2034091599999</v>
      </c>
      <c r="I32" s="166">
        <v>1786.9047664799998</v>
      </c>
      <c r="J32" s="166">
        <f>VLOOKUP($A$11,'[1]6.2. отчет'!$D:$FK,132,0)</f>
        <v>677.74733691000006</v>
      </c>
      <c r="K32" s="166">
        <f>IF(J32=0,0,VLOOKUP($A$11,'[1]6.2. отчет'!$D:$FK,157,0))</f>
        <v>97.448694230000001</v>
      </c>
      <c r="L32" s="214"/>
    </row>
    <row r="33" spans="1:12" s="38" customFormat="1" x14ac:dyDescent="0.25">
      <c r="A33" s="15" t="s">
        <v>105</v>
      </c>
      <c r="B33" s="7" t="s">
        <v>104</v>
      </c>
      <c r="C33" s="166">
        <f>VLOOKUP($A$11,'[1]6.2. отчет'!$D:$DB,102,0)</f>
        <v>395.12468999999999</v>
      </c>
      <c r="D33" s="166">
        <v>455.31600754999999</v>
      </c>
      <c r="E33" s="221">
        <f t="shared" si="4"/>
        <v>395.12468999999999</v>
      </c>
      <c r="F33" s="221">
        <v>395.12468999999999</v>
      </c>
      <c r="G33" s="166">
        <f>VLOOKUP($A$11,'[1]6.2. отчет'!$D:$FK,113,0)</f>
        <v>0</v>
      </c>
      <c r="H33" s="166">
        <v>395.12468999999999</v>
      </c>
      <c r="I33" s="166">
        <v>33.271936229999994</v>
      </c>
      <c r="J33" s="166">
        <f>VLOOKUP($A$11,'[1]6.2. отчет'!$D:$FK,133,0)</f>
        <v>455.31600754999999</v>
      </c>
      <c r="K33" s="166">
        <f>IF(J33=0,0,VLOOKUP($A$11,'[1]6.2. отчет'!$D:$FK,158,0))</f>
        <v>93.463253780000002</v>
      </c>
      <c r="L33" s="214"/>
    </row>
    <row r="34" spans="1:12" s="38" customFormat="1" x14ac:dyDescent="0.25">
      <c r="A34" s="15" t="s">
        <v>103</v>
      </c>
      <c r="B34" s="7" t="s">
        <v>102</v>
      </c>
      <c r="C34" s="166">
        <f>VLOOKUP($A$11,'[1]6.2. отчет'!$D:$DB,103,0)</f>
        <v>189.67144218922948</v>
      </c>
      <c r="D34" s="166">
        <v>35.623034349999983</v>
      </c>
      <c r="E34" s="221">
        <f t="shared" si="4"/>
        <v>189.67144218922948</v>
      </c>
      <c r="F34" s="221">
        <v>186.8258737292295</v>
      </c>
      <c r="G34" s="166">
        <f>VLOOKUP($A$11,'[1]6.2. отчет'!$D:$FK,114,0)</f>
        <v>2.8455684599999813</v>
      </c>
      <c r="H34" s="166">
        <v>186.8258737292295</v>
      </c>
      <c r="I34" s="166">
        <f>I30-I31-I32-I33</f>
        <v>55.806787099755809</v>
      </c>
      <c r="J34" s="166">
        <f>VLOOKUP($A$11,'[1]6.2. отчет'!$D:$FK,134,0)</f>
        <v>32.777465890000002</v>
      </c>
      <c r="K34" s="166">
        <f>IF(J34=0,0,VLOOKUP($A$11,'[1]6.2. отчет'!$D:$FK,159,0))</f>
        <v>25.163352369999998</v>
      </c>
      <c r="L34" s="214"/>
    </row>
    <row r="35" spans="1:12" s="96" customFormat="1" ht="31.5" x14ac:dyDescent="0.25">
      <c r="A35" s="15" t="s">
        <v>51</v>
      </c>
      <c r="B35" s="14" t="s">
        <v>101</v>
      </c>
      <c r="C35" s="166"/>
      <c r="D35" s="166"/>
      <c r="E35" s="166"/>
      <c r="F35" s="166"/>
      <c r="G35" s="166"/>
      <c r="H35" s="166"/>
      <c r="I35" s="167"/>
      <c r="J35" s="166"/>
      <c r="K35" s="167"/>
    </row>
    <row r="36" spans="1:12" s="38" customFormat="1" ht="31.5" x14ac:dyDescent="0.25">
      <c r="A36" s="13" t="s">
        <v>100</v>
      </c>
      <c r="B36" s="59" t="s">
        <v>99</v>
      </c>
      <c r="C36" s="166">
        <f>IF('1. паспорт местоположение'!$C$22="Прочие инвестиционные проекты",0,VLOOKUP($A$11,'[1]6.2. отчет'!$D:$FX,168,0))</f>
        <v>0</v>
      </c>
      <c r="D36" s="219">
        <v>0</v>
      </c>
      <c r="E36" s="166">
        <f>F36+G36</f>
        <v>0</v>
      </c>
      <c r="F36" s="166">
        <f>H36</f>
        <v>0</v>
      </c>
      <c r="G36" s="166">
        <f>IF('1. паспорт местоположение'!$C$22="Прочие инвестиционные проекты",0,VLOOKUP($A$11,'[1]6.2. отчет'!$D:$GJ,180,0))</f>
        <v>0</v>
      </c>
      <c r="H36" s="166">
        <f>IF('1. паспорт местоположение'!$C$22="Прочие инвестиционные проекты",0,VLOOKUP($A$11,'[1]6.2. отчет'!$D:$AGO,191,0))</f>
        <v>0</v>
      </c>
      <c r="I36" s="166">
        <f>IF('1. паспорт местоположение'!$C$22="Прочие инвестиционные проекты",0,VLOOKUP($A$11,'[1]6.2. отчет'!$D:$AGO,246,0))</f>
        <v>0</v>
      </c>
      <c r="J36" s="166">
        <f>IF('1. паспорт местоположение'!$C$22="Прочие инвестиционные проекты",0,VLOOKUP($A$11,'[1]6.2. отчет'!$D:$AGO,257,0))</f>
        <v>0</v>
      </c>
      <c r="K36" s="166">
        <f>IF('1. паспорт местоположение'!$C$22="Прочие инвестиционные проекты",0,VLOOKUP($A$11,'[1]6.2. отчет'!$D:$AGO,312,0))</f>
        <v>0</v>
      </c>
    </row>
    <row r="37" spans="1:12" s="38" customFormat="1" x14ac:dyDescent="0.25">
      <c r="A37" s="13" t="s">
        <v>98</v>
      </c>
      <c r="B37" s="59" t="s">
        <v>88</v>
      </c>
      <c r="C37" s="166">
        <f>IF('1. паспорт местоположение'!$C$22="Прочие инвестиционные проекты",0,VLOOKUP($A$11,'[1]6.2. отчет'!$D:$FX,169,0))</f>
        <v>20</v>
      </c>
      <c r="D37" s="219">
        <f>VLOOKUP($A$11,'[1]6.2. отчет'!$D:$OZ,410,0)</f>
        <v>0</v>
      </c>
      <c r="E37" s="166">
        <f t="shared" ref="E37:E42" si="5">F37+G37</f>
        <v>0</v>
      </c>
      <c r="F37" s="166">
        <f t="shared" ref="F37:F42" si="6">H37</f>
        <v>0</v>
      </c>
      <c r="G37" s="166">
        <f>IF('1. паспорт местоположение'!$C$22="Прочие инвестиционные проекты",0,VLOOKUP($A$11,'[1]6.2. отчет'!$D:$GJ,181,0))</f>
        <v>0</v>
      </c>
      <c r="H37" s="166">
        <f>IF('1. паспорт местоположение'!$C$22="Прочие инвестиционные проекты",0,VLOOKUP($A$11,'[1]6.2. отчет'!$D:$AGO,192,0))</f>
        <v>0</v>
      </c>
      <c r="I37" s="166">
        <f>IF('1. паспорт местоположение'!$C$22="Прочие инвестиционные проекты",0,VLOOKUP($A$11,'[1]6.2. отчет'!$D:$AGO,247,0))</f>
        <v>0</v>
      </c>
      <c r="J37" s="166">
        <f>IF('1. паспорт местоположение'!$C$22="Прочие инвестиционные проекты",0,VLOOKUP($A$11,'[1]6.2. отчет'!$D:$AGO,258,0))</f>
        <v>0</v>
      </c>
      <c r="K37" s="166">
        <f>IF('1. паспорт местоположение'!$C$22="Прочие инвестиционные проекты",0,VLOOKUP($A$11,'[1]6.2. отчет'!$D:$AGO,313,0))</f>
        <v>0</v>
      </c>
    </row>
    <row r="38" spans="1:12" s="38" customFormat="1" x14ac:dyDescent="0.25">
      <c r="A38" s="13" t="s">
        <v>97</v>
      </c>
      <c r="B38" s="59" t="s">
        <v>86</v>
      </c>
      <c r="C38" s="166">
        <f>IF('1. паспорт местоположение'!$C$22="Прочие инвестиционные проекты",0,VLOOKUP($A$11,'[1]6.2. отчет'!$D:$FX,170,0))</f>
        <v>0</v>
      </c>
      <c r="D38" s="219">
        <f>VLOOKUP($A$11,'[1]6.2. отчет'!$D:$OZ,411,0)</f>
        <v>0</v>
      </c>
      <c r="E38" s="166">
        <f t="shared" si="5"/>
        <v>0</v>
      </c>
      <c r="F38" s="166">
        <f t="shared" si="6"/>
        <v>0</v>
      </c>
      <c r="G38" s="166">
        <f>IF('1. паспорт местоположение'!$C$22="Прочие инвестиционные проекты",0,VLOOKUP($A$11,'[1]6.2. отчет'!$D:$GJ,182,0))</f>
        <v>0</v>
      </c>
      <c r="H38" s="166">
        <f>IF('1. паспорт местоположение'!$C$22="Прочие инвестиционные проекты",0,VLOOKUP($A$11,'[1]6.2. отчет'!$D:$AGO,193,0))</f>
        <v>0</v>
      </c>
      <c r="I38" s="166">
        <f>IF('1. паспорт местоположение'!$C$22="Прочие инвестиционные проекты",0,VLOOKUP($A$11,'[1]6.2. отчет'!$D:$AGO,248,0))</f>
        <v>0</v>
      </c>
      <c r="J38" s="166">
        <f>IF('1. паспорт местоположение'!$C$22="Прочие инвестиционные проекты",0,VLOOKUP($A$11,'[1]6.2. отчет'!$D:$AGO,259,0))</f>
        <v>0</v>
      </c>
      <c r="K38" s="166">
        <f>IF('1. паспорт местоположение'!$C$22="Прочие инвестиционные проекты",0,VLOOKUP($A$11,'[1]6.2. отчет'!$D:$AGO,314,0))</f>
        <v>0</v>
      </c>
    </row>
    <row r="39" spans="1:12" s="38" customFormat="1" ht="31.5" x14ac:dyDescent="0.25">
      <c r="A39" s="13" t="s">
        <v>96</v>
      </c>
      <c r="B39" s="7" t="s">
        <v>84</v>
      </c>
      <c r="C39" s="166">
        <f>IF('1. паспорт местоположение'!$C$22="Прочие инвестиционные проекты",0,VLOOKUP($A$11,'[1]6.2. отчет'!$D:$FX,172,0))</f>
        <v>0</v>
      </c>
      <c r="D39" s="219">
        <f>VLOOKUP($A$11,'[1]6.2. отчет'!$D:$OZ,409,0)</f>
        <v>0</v>
      </c>
      <c r="E39" s="166">
        <f t="shared" si="5"/>
        <v>0</v>
      </c>
      <c r="F39" s="166">
        <f t="shared" si="6"/>
        <v>0</v>
      </c>
      <c r="G39" s="166">
        <f>IF('1. паспорт местоположение'!$C$22="Прочие инвестиционные проекты",0,VLOOKUP($A$11,'[1]6.2. отчет'!$D:$GJ,184,0))</f>
        <v>0</v>
      </c>
      <c r="H39" s="166">
        <f>IF('1. паспорт местоположение'!$C$22="Прочие инвестиционные проекты",0,VLOOKUP($A$11,'[1]6.2. отчет'!$D:$AGO,195,0))</f>
        <v>0</v>
      </c>
      <c r="I39" s="166">
        <f>IF('1. паспорт местоположение'!$C$22="Прочие инвестиционные проекты",0,VLOOKUP($A$11,'[1]6.2. отчет'!$D:$AGO,250,0))</f>
        <v>0</v>
      </c>
      <c r="J39" s="166">
        <f>IF('1. паспорт местоположение'!$C$22="Прочие инвестиционные проекты",0,VLOOKUP($A$11,'[1]6.2. отчет'!$D:$AGO,261,0))</f>
        <v>0</v>
      </c>
      <c r="K39" s="166">
        <f>IF('1. паспорт местоположение'!$C$22="Прочие инвестиционные проекты",0,VLOOKUP($A$11,'[1]6.2. отчет'!$D:$AGO,316,0))</f>
        <v>0</v>
      </c>
    </row>
    <row r="40" spans="1:12" s="38" customFormat="1" ht="31.5" x14ac:dyDescent="0.25">
      <c r="A40" s="13" t="s">
        <v>95</v>
      </c>
      <c r="B40" s="7" t="s">
        <v>82</v>
      </c>
      <c r="C40" s="166">
        <f>IF('1. паспорт местоположение'!$C$22="Прочие инвестиционные проекты",0,VLOOKUP($A$11,'[1]6.2. отчет'!$D:$FX,173,0))</f>
        <v>71</v>
      </c>
      <c r="D40" s="219">
        <v>0</v>
      </c>
      <c r="E40" s="166">
        <f t="shared" si="5"/>
        <v>0</v>
      </c>
      <c r="F40" s="166">
        <f t="shared" si="6"/>
        <v>0</v>
      </c>
      <c r="G40" s="166">
        <f>IF('1. паспорт местоположение'!$C$22="Прочие инвестиционные проекты",0,VLOOKUP($A$11,'[1]6.2. отчет'!$D:$GJ,185,0))</f>
        <v>0</v>
      </c>
      <c r="H40" s="166">
        <f>IF('1. паспорт местоположение'!$C$22="Прочие инвестиционные проекты",0,VLOOKUP($A$11,'[1]6.2. отчет'!$D:$AGO,196,0))</f>
        <v>0</v>
      </c>
      <c r="I40" s="166">
        <f>IF('1. паспорт местоположение'!$C$22="Прочие инвестиционные проекты",0,VLOOKUP($A$11,'[1]6.2. отчет'!$D:$AGO,251,0))</f>
        <v>0</v>
      </c>
      <c r="J40" s="166">
        <f>IF('1. паспорт местоположение'!$C$22="Прочие инвестиционные проекты",0,VLOOKUP($A$11,'[1]6.2. отчет'!$D:$AGO,262,0))</f>
        <v>0</v>
      </c>
      <c r="K40" s="166">
        <f>IF('1. паспорт местоположение'!$C$22="Прочие инвестиционные проекты",0,VLOOKUP($A$11,'[1]6.2. отчет'!$D:$AGO,317,0))</f>
        <v>0</v>
      </c>
    </row>
    <row r="41" spans="1:12" s="38" customFormat="1" x14ac:dyDescent="0.25">
      <c r="A41" s="13" t="s">
        <v>94</v>
      </c>
      <c r="B41" s="7" t="s">
        <v>80</v>
      </c>
      <c r="C41" s="166">
        <f>IF('1. паспорт местоположение'!$C$22="Прочие инвестиционные проекты",0,VLOOKUP($A$11,'[1]6.2. отчет'!$D:$FX,174,0))</f>
        <v>0</v>
      </c>
      <c r="D41" s="219">
        <v>0</v>
      </c>
      <c r="E41" s="166">
        <f t="shared" si="5"/>
        <v>0</v>
      </c>
      <c r="F41" s="166">
        <f t="shared" si="6"/>
        <v>0</v>
      </c>
      <c r="G41" s="166">
        <f>IF('1. паспорт местоположение'!$C$22="Прочие инвестиционные проекты",0,VLOOKUP($A$11,'[1]6.2. отчет'!$D:$GJ,186,0))</f>
        <v>0</v>
      </c>
      <c r="H41" s="166">
        <f>IF('1. паспорт местоположение'!$C$22="Прочие инвестиционные проекты",0,VLOOKUP($A$11,'[1]6.2. отчет'!$D:$AGO,197,0))</f>
        <v>0</v>
      </c>
      <c r="I41" s="166">
        <f>IF('1. паспорт местоположение'!$C$22="Прочие инвестиционные проекты",0,VLOOKUP($A$11,'[1]6.2. отчет'!$D:$AGO,252,0))</f>
        <v>0</v>
      </c>
      <c r="J41" s="166">
        <f>IF('1. паспорт местоположение'!$C$22="Прочие инвестиционные проекты",0,VLOOKUP($A$11,'[1]6.2. отчет'!$D:$AGO,263,0))</f>
        <v>0</v>
      </c>
      <c r="K41" s="166">
        <f>IF('1. паспорт местоположение'!$C$22="Прочие инвестиционные проекты",0,VLOOKUP($A$11,'[1]6.2. отчет'!$D:$AGO,318,0))</f>
        <v>0</v>
      </c>
    </row>
    <row r="42" spans="1:12" s="38" customFormat="1" x14ac:dyDescent="0.25">
      <c r="A42" s="13" t="s">
        <v>93</v>
      </c>
      <c r="B42" s="59" t="s">
        <v>449</v>
      </c>
      <c r="C42" s="166">
        <f>IF('1. паспорт местоположение'!$C$22="Прочие инвестиционные проекты",0,VLOOKUP($A$11,'[1]6.2. отчет'!$D:$FX,177,0))</f>
        <v>0</v>
      </c>
      <c r="D42" s="219">
        <f>VLOOKUP($A$11,'[1]6.2. отчет'!$D:$OZ,412,0)</f>
        <v>0</v>
      </c>
      <c r="E42" s="166">
        <f t="shared" si="5"/>
        <v>0</v>
      </c>
      <c r="F42" s="166">
        <f t="shared" si="6"/>
        <v>0</v>
      </c>
      <c r="G42" s="166">
        <f>IF('1. паспорт местоположение'!$C$22="Прочие инвестиционные проекты",0,VLOOKUP($A$11,'[1]6.2. отчет'!$D:$GJ,189,0))</f>
        <v>0</v>
      </c>
      <c r="H42" s="166">
        <f>IF('1. паспорт местоположение'!$C$22="Прочие инвестиционные проекты",0,VLOOKUP($A$11,'[1]6.2. отчет'!$D:$AGO,200,0))</f>
        <v>0</v>
      </c>
      <c r="I42" s="166">
        <f>IF('1. паспорт местоположение'!$C$22="Прочие инвестиционные проекты",0,VLOOKUP($A$11,'[1]6.2. отчет'!$D:$AGO,255,0))</f>
        <v>0</v>
      </c>
      <c r="J42" s="166">
        <f>IF('1. паспорт местоположение'!$C$22="Прочие инвестиционные проекты",0,VLOOKUP($A$11,'[1]6.2. отчет'!$D:$AGO,266,0))</f>
        <v>0</v>
      </c>
      <c r="K42" s="166">
        <f>IF('1. паспорт местоположение'!$C$22="Прочие инвестиционные проекты",0,VLOOKUP($A$11,'[1]6.2. отчет'!$D:$AGO,321,0))</f>
        <v>0</v>
      </c>
    </row>
    <row r="43" spans="1:12" s="96" customFormat="1" x14ac:dyDescent="0.25">
      <c r="A43" s="15" t="s">
        <v>50</v>
      </c>
      <c r="B43" s="14" t="s">
        <v>92</v>
      </c>
      <c r="C43" s="166"/>
      <c r="D43" s="219"/>
      <c r="E43" s="166"/>
      <c r="F43" s="166"/>
      <c r="G43" s="166"/>
      <c r="H43" s="166"/>
      <c r="I43" s="167"/>
      <c r="J43" s="166"/>
      <c r="K43" s="167"/>
    </row>
    <row r="44" spans="1:12" s="38" customFormat="1" x14ac:dyDescent="0.25">
      <c r="A44" s="13" t="s">
        <v>91</v>
      </c>
      <c r="B44" s="7" t="s">
        <v>90</v>
      </c>
      <c r="C44" s="166">
        <f>VLOOKUP($A$11,'[1]6.2. отчет'!$D:$FX,168,0)</f>
        <v>0</v>
      </c>
      <c r="D44" s="219">
        <v>0</v>
      </c>
      <c r="E44" s="166">
        <f t="shared" ref="E44:E50" si="7">F44+G44</f>
        <v>0</v>
      </c>
      <c r="F44" s="166">
        <f>H44</f>
        <v>0</v>
      </c>
      <c r="G44" s="166">
        <f>VLOOKUP($A$11,'[1]6.2. отчет'!$D:$GJ,180,0)</f>
        <v>0</v>
      </c>
      <c r="H44" s="166">
        <f>VLOOKUP($A$11,'[1]6.2. отчет'!$D:$AGO,191,0)</f>
        <v>0</v>
      </c>
      <c r="I44" s="166">
        <f>VLOOKUP($A$11,'[1]6.2. отчет'!$D:$AGO,246,0)</f>
        <v>0</v>
      </c>
      <c r="J44" s="166">
        <f>VLOOKUP($A$11,'[1]6.2. отчет'!$D:$AGO,257,0)</f>
        <v>0</v>
      </c>
      <c r="K44" s="166">
        <f>VLOOKUP($A$11,'[1]6.2. отчет'!$D:$AGO,312,0)</f>
        <v>0</v>
      </c>
    </row>
    <row r="45" spans="1:12" s="38" customFormat="1" x14ac:dyDescent="0.25">
      <c r="A45" s="13" t="s">
        <v>89</v>
      </c>
      <c r="B45" s="7" t="s">
        <v>88</v>
      </c>
      <c r="C45" s="166">
        <f>VLOOKUP($A$11,'[1]6.2. отчет'!$D:$FX,169,0)</f>
        <v>20</v>
      </c>
      <c r="D45" s="219">
        <f>VLOOKUP($A$11,'[1]6.2. отчет'!$D:$OZ,410,0)</f>
        <v>0</v>
      </c>
      <c r="E45" s="166">
        <f t="shared" si="7"/>
        <v>0</v>
      </c>
      <c r="F45" s="166">
        <f t="shared" ref="F45:F50" si="8">H45</f>
        <v>0</v>
      </c>
      <c r="G45" s="166">
        <f>VLOOKUP($A$11,'[1]6.2. отчет'!$D:$GJ,181,0)</f>
        <v>0</v>
      </c>
      <c r="H45" s="166">
        <f>VLOOKUP($A$11,'[1]6.2. отчет'!$D:$AGO,192,0)</f>
        <v>0</v>
      </c>
      <c r="I45" s="166">
        <f>VLOOKUP($A$11,'[1]6.2. отчет'!$D:$AGO,247,0)</f>
        <v>0</v>
      </c>
      <c r="J45" s="166">
        <f>VLOOKUP($A$11,'[1]6.2. отчет'!$D:$AGO,258,0)</f>
        <v>0</v>
      </c>
      <c r="K45" s="166">
        <f>VLOOKUP($A$11,'[1]6.2. отчет'!$D:$AGO,313,0)</f>
        <v>0</v>
      </c>
    </row>
    <row r="46" spans="1:12" s="38" customFormat="1" x14ac:dyDescent="0.25">
      <c r="A46" s="13" t="s">
        <v>87</v>
      </c>
      <c r="B46" s="7" t="s">
        <v>86</v>
      </c>
      <c r="C46" s="166">
        <f>VLOOKUP($A$11,'[1]6.2. отчет'!$D:$FX,170,0)</f>
        <v>0</v>
      </c>
      <c r="D46" s="219">
        <f>VLOOKUP($A$11,'[1]6.2. отчет'!$D:$OZ,411,0)</f>
        <v>0</v>
      </c>
      <c r="E46" s="166">
        <f t="shared" si="7"/>
        <v>0</v>
      </c>
      <c r="F46" s="166">
        <f t="shared" si="8"/>
        <v>0</v>
      </c>
      <c r="G46" s="166">
        <f>VLOOKUP($A$11,'[1]6.2. отчет'!$D:$GJ,182,0)</f>
        <v>0</v>
      </c>
      <c r="H46" s="166">
        <f>VLOOKUP($A$11,'[1]6.2. отчет'!$D:$AGO,193,0)</f>
        <v>0</v>
      </c>
      <c r="I46" s="166">
        <f>VLOOKUP($A$11,'[1]6.2. отчет'!$D:$AGO,248,0)</f>
        <v>0</v>
      </c>
      <c r="J46" s="166">
        <f>VLOOKUP($A$11,'[1]6.2. отчет'!$D:$AGO,259,0)</f>
        <v>0</v>
      </c>
      <c r="K46" s="166">
        <f>VLOOKUP($A$11,'[1]6.2. отчет'!$D:$AGO,314,0)</f>
        <v>0</v>
      </c>
    </row>
    <row r="47" spans="1:12" s="38" customFormat="1" ht="31.5" x14ac:dyDescent="0.25">
      <c r="A47" s="13" t="s">
        <v>85</v>
      </c>
      <c r="B47" s="7" t="s">
        <v>84</v>
      </c>
      <c r="C47" s="166">
        <f>VLOOKUP($A$11,'[1]6.2. отчет'!$D:$FX,172,0)</f>
        <v>0</v>
      </c>
      <c r="D47" s="219">
        <f>VLOOKUP($A$11,'[1]6.2. отчет'!$D:$OZ,409,0)</f>
        <v>0</v>
      </c>
      <c r="E47" s="166">
        <f t="shared" si="7"/>
        <v>0</v>
      </c>
      <c r="F47" s="166">
        <f t="shared" si="8"/>
        <v>0</v>
      </c>
      <c r="G47" s="166">
        <f>VLOOKUP($A$11,'[1]6.2. отчет'!$D:$GJ,184,0)</f>
        <v>0</v>
      </c>
      <c r="H47" s="166">
        <f>VLOOKUP($A$11,'[1]6.2. отчет'!$D:$AGO,195,0)</f>
        <v>0</v>
      </c>
      <c r="I47" s="166">
        <f>VLOOKUP($A$11,'[1]6.2. отчет'!$D:$AGO,250,0)</f>
        <v>0</v>
      </c>
      <c r="J47" s="166">
        <f>VLOOKUP($A$11,'[1]6.2. отчет'!$D:$AGO,261,0)</f>
        <v>0</v>
      </c>
      <c r="K47" s="166">
        <f>VLOOKUP($A$11,'[1]6.2. отчет'!$D:$AGO,316,0)</f>
        <v>0</v>
      </c>
    </row>
    <row r="48" spans="1:12" s="38" customFormat="1" ht="31.5" x14ac:dyDescent="0.25">
      <c r="A48" s="13" t="s">
        <v>83</v>
      </c>
      <c r="B48" s="7" t="s">
        <v>82</v>
      </c>
      <c r="C48" s="166">
        <f>VLOOKUP($A$11,'[1]6.2. отчет'!$D:$FX,173,0)</f>
        <v>71</v>
      </c>
      <c r="D48" s="219">
        <v>0</v>
      </c>
      <c r="E48" s="166">
        <f t="shared" si="7"/>
        <v>0</v>
      </c>
      <c r="F48" s="166">
        <f t="shared" si="8"/>
        <v>0</v>
      </c>
      <c r="G48" s="166">
        <f>VLOOKUP($A$11,'[1]6.2. отчет'!$D:$GJ,185,0)</f>
        <v>0</v>
      </c>
      <c r="H48" s="166">
        <f>VLOOKUP($A$11,'[1]6.2. отчет'!$D:$AGO,196,0)</f>
        <v>0</v>
      </c>
      <c r="I48" s="166">
        <f>VLOOKUP($A$11,'[1]6.2. отчет'!$D:$AGO,251,0)</f>
        <v>0</v>
      </c>
      <c r="J48" s="166">
        <f>VLOOKUP($A$11,'[1]6.2. отчет'!$D:$AGO,262,0)</f>
        <v>0</v>
      </c>
      <c r="K48" s="166">
        <f>VLOOKUP($A$11,'[1]6.2. отчет'!$D:$AGO,317,0)</f>
        <v>0</v>
      </c>
    </row>
    <row r="49" spans="1:11" s="38" customFormat="1" x14ac:dyDescent="0.25">
      <c r="A49" s="13" t="s">
        <v>81</v>
      </c>
      <c r="B49" s="7" t="s">
        <v>80</v>
      </c>
      <c r="C49" s="166">
        <f>VLOOKUP($A$11,'[1]6.2. отчет'!$D:$FX,174,0)</f>
        <v>0</v>
      </c>
      <c r="D49" s="219">
        <v>0</v>
      </c>
      <c r="E49" s="166">
        <f t="shared" si="7"/>
        <v>0</v>
      </c>
      <c r="F49" s="166">
        <f t="shared" si="8"/>
        <v>0</v>
      </c>
      <c r="G49" s="166">
        <f>VLOOKUP($A$11,'[1]6.2. отчет'!$D:$GJ,186,0)</f>
        <v>0</v>
      </c>
      <c r="H49" s="166">
        <f>VLOOKUP($A$11,'[1]6.2. отчет'!$D:$AGO,197,0)</f>
        <v>0</v>
      </c>
      <c r="I49" s="166">
        <f>VLOOKUP($A$11,'[1]6.2. отчет'!$D:$AGO,252,0)</f>
        <v>0</v>
      </c>
      <c r="J49" s="166">
        <f>VLOOKUP($A$11,'[1]6.2. отчет'!$D:$AGO,263,0)</f>
        <v>0</v>
      </c>
      <c r="K49" s="166">
        <f>VLOOKUP($A$11,'[1]6.2. отчет'!$D:$AGO,318,0)</f>
        <v>0</v>
      </c>
    </row>
    <row r="50" spans="1:11" s="38" customFormat="1" x14ac:dyDescent="0.25">
      <c r="A50" s="13" t="s">
        <v>79</v>
      </c>
      <c r="B50" s="7" t="s">
        <v>449</v>
      </c>
      <c r="C50" s="166">
        <f>VLOOKUP($A$11,'[1]6.2. отчет'!$D:$FX,175,0)</f>
        <v>0</v>
      </c>
      <c r="D50" s="219">
        <f>VLOOKUP($A$11,'[1]6.2. отчет'!$D:$OZ,412,0)</f>
        <v>0</v>
      </c>
      <c r="E50" s="166">
        <f t="shared" si="7"/>
        <v>0</v>
      </c>
      <c r="F50" s="166">
        <f t="shared" si="8"/>
        <v>0</v>
      </c>
      <c r="G50" s="166">
        <f>VLOOKUP($A$11,'[1]6.2. отчет'!$D:$GJ,187,0)</f>
        <v>0</v>
      </c>
      <c r="H50" s="166">
        <f>VLOOKUP($A$11,'[1]6.2. отчет'!$D:$AGO,198,0)</f>
        <v>0</v>
      </c>
      <c r="I50" s="166">
        <f>VLOOKUP($A$11,'[1]6.2. отчет'!$D:$AGO,253,0)</f>
        <v>0</v>
      </c>
      <c r="J50" s="166">
        <f>VLOOKUP($A$11,'[1]6.2. отчет'!$D:$AGO,264,0)</f>
        <v>0</v>
      </c>
      <c r="K50" s="166">
        <f>VLOOKUP($A$11,'[1]6.2. отчет'!$D:$AGO,319,0)</f>
        <v>0</v>
      </c>
    </row>
    <row r="51" spans="1:11" s="38" customFormat="1" ht="31.5" x14ac:dyDescent="0.25">
      <c r="A51" s="15" t="s">
        <v>48</v>
      </c>
      <c r="B51" s="14" t="s">
        <v>78</v>
      </c>
      <c r="C51" s="166"/>
      <c r="D51" s="219"/>
      <c r="E51" s="166"/>
      <c r="F51" s="166"/>
      <c r="G51" s="166"/>
      <c r="H51" s="166"/>
      <c r="I51" s="166"/>
      <c r="J51" s="166"/>
      <c r="K51" s="166"/>
    </row>
    <row r="52" spans="1:11" s="96" customFormat="1" x14ac:dyDescent="0.25">
      <c r="A52" s="13" t="s">
        <v>77</v>
      </c>
      <c r="B52" s="7" t="s">
        <v>76</v>
      </c>
      <c r="C52" s="166">
        <f>VLOOKUP($A$11,'[1]6.2. отчет'!$D:$FX,167,0)</f>
        <v>3343.6785621892295</v>
      </c>
      <c r="D52" s="219">
        <f>VLOOKUP($A$11,'[1]6.2. отчет'!$D:$OZ,413,0)</f>
        <v>0</v>
      </c>
      <c r="E52" s="166">
        <f t="shared" ref="E52:E57" si="9">F52+G52</f>
        <v>0</v>
      </c>
      <c r="F52" s="166">
        <f>H52</f>
        <v>0</v>
      </c>
      <c r="G52" s="166">
        <f>VLOOKUP($A$11,'[1]6.2. отчет'!$D:$GJ,179,0)</f>
        <v>0</v>
      </c>
      <c r="H52" s="166">
        <f>VLOOKUP($A$11,'[1]6.2. отчет'!$D:$AGO,190,0)</f>
        <v>0</v>
      </c>
      <c r="I52" s="166">
        <f>VLOOKUP($A$11,'[1]6.2. отчет'!$D:$AGO,245,0)</f>
        <v>0</v>
      </c>
      <c r="J52" s="166">
        <f>VLOOKUP($A$11,'[1]6.2. отчет'!$D:$AGO,256,0)</f>
        <v>0</v>
      </c>
      <c r="K52" s="166">
        <f>VLOOKUP($A$11,'[1]6.2. отчет'!$D:$AGO,311,0)</f>
        <v>0</v>
      </c>
    </row>
    <row r="53" spans="1:11" s="38" customFormat="1" x14ac:dyDescent="0.25">
      <c r="A53" s="13" t="s">
        <v>75</v>
      </c>
      <c r="B53" s="7" t="s">
        <v>69</v>
      </c>
      <c r="C53" s="166">
        <f>VLOOKUP($A$11,'[1]6.2. отчет'!$D:$FX,168,0)</f>
        <v>0</v>
      </c>
      <c r="D53" s="219">
        <v>0</v>
      </c>
      <c r="E53" s="166">
        <f t="shared" si="9"/>
        <v>0</v>
      </c>
      <c r="F53" s="166">
        <f t="shared" ref="F53:F57" si="10">H53</f>
        <v>0</v>
      </c>
      <c r="G53" s="166">
        <f>VLOOKUP($A$11,'[1]6.2. отчет'!$D:$GJ,180,0)</f>
        <v>0</v>
      </c>
      <c r="H53" s="166">
        <f>VLOOKUP($A$11,'[1]6.2. отчет'!$D:$AGO,191,0)</f>
        <v>0</v>
      </c>
      <c r="I53" s="166">
        <f>VLOOKUP($A$11,'[1]6.2. отчет'!$D:$AGO,246,0)</f>
        <v>0</v>
      </c>
      <c r="J53" s="166">
        <f>VLOOKUP($A$11,'[1]6.2. отчет'!$D:$AGO,257,0)</f>
        <v>0</v>
      </c>
      <c r="K53" s="166">
        <f>VLOOKUP($A$11,'[1]6.2. отчет'!$D:$AGO,312,0)</f>
        <v>0</v>
      </c>
    </row>
    <row r="54" spans="1:11" s="38" customFormat="1" x14ac:dyDescent="0.25">
      <c r="A54" s="13" t="s">
        <v>74</v>
      </c>
      <c r="B54" s="59" t="s">
        <v>68</v>
      </c>
      <c r="C54" s="166">
        <f>VLOOKUP($A$11,'[1]6.2. отчет'!$D:$FX,169,0)</f>
        <v>20</v>
      </c>
      <c r="D54" s="219">
        <f>VLOOKUP($A$11,'[1]6.2. отчет'!$D:$OZ,410,0)</f>
        <v>0</v>
      </c>
      <c r="E54" s="166">
        <f t="shared" si="9"/>
        <v>0</v>
      </c>
      <c r="F54" s="166">
        <f t="shared" si="10"/>
        <v>0</v>
      </c>
      <c r="G54" s="166">
        <f>VLOOKUP($A$11,'[1]6.2. отчет'!$D:$GJ,181,0)</f>
        <v>0</v>
      </c>
      <c r="H54" s="166">
        <f>VLOOKUP($A$11,'[1]6.2. отчет'!$D:$AGO,192,0)</f>
        <v>0</v>
      </c>
      <c r="I54" s="166">
        <f>VLOOKUP($A$11,'[1]6.2. отчет'!$D:$AGO,247,0)</f>
        <v>0</v>
      </c>
      <c r="J54" s="166">
        <f>VLOOKUP($A$11,'[1]6.2. отчет'!$D:$AGO,258,0)</f>
        <v>0</v>
      </c>
      <c r="K54" s="166">
        <f>VLOOKUP($A$11,'[1]6.2. отчет'!$D:$AGO,313,0)</f>
        <v>0</v>
      </c>
    </row>
    <row r="55" spans="1:11" s="38" customFormat="1" x14ac:dyDescent="0.25">
      <c r="A55" s="13" t="s">
        <v>73</v>
      </c>
      <c r="B55" s="59" t="s">
        <v>67</v>
      </c>
      <c r="C55" s="166">
        <f>VLOOKUP($A$11,'[1]6.2. отчет'!$D:$FX,170,0)</f>
        <v>0</v>
      </c>
      <c r="D55" s="219">
        <f>VLOOKUP($A$11,'[1]6.2. отчет'!$D:$OZ,411,0)</f>
        <v>0</v>
      </c>
      <c r="E55" s="166">
        <f t="shared" si="9"/>
        <v>0</v>
      </c>
      <c r="F55" s="166">
        <f t="shared" si="10"/>
        <v>0</v>
      </c>
      <c r="G55" s="166">
        <f>VLOOKUP($A$11,'[1]6.2. отчет'!$D:$GJ,182,0)</f>
        <v>0</v>
      </c>
      <c r="H55" s="166">
        <f>VLOOKUP($A$11,'[1]6.2. отчет'!$D:$AGO,193,0)</f>
        <v>0</v>
      </c>
      <c r="I55" s="166">
        <f>VLOOKUP($A$11,'[1]6.2. отчет'!$D:$AGO,248,0)</f>
        <v>0</v>
      </c>
      <c r="J55" s="166">
        <f>VLOOKUP($A$11,'[1]6.2. отчет'!$D:$AGO,259,0)</f>
        <v>0</v>
      </c>
      <c r="K55" s="166">
        <f>VLOOKUP($A$11,'[1]6.2. отчет'!$D:$AGO,314,0)</f>
        <v>0</v>
      </c>
    </row>
    <row r="56" spans="1:11" s="38" customFormat="1" x14ac:dyDescent="0.25">
      <c r="A56" s="13" t="s">
        <v>72</v>
      </c>
      <c r="B56" s="59" t="s">
        <v>66</v>
      </c>
      <c r="C56" s="166">
        <f>VLOOKUP($A$11,'[1]6.2. отчет'!$D:$FX,171,0)</f>
        <v>71</v>
      </c>
      <c r="D56" s="219">
        <f>VLOOKUP($A$11,'[1]6.2. отчет'!$D:$OZ,409,0)</f>
        <v>0</v>
      </c>
      <c r="E56" s="166">
        <f t="shared" si="9"/>
        <v>0</v>
      </c>
      <c r="F56" s="166">
        <f t="shared" si="10"/>
        <v>0</v>
      </c>
      <c r="G56" s="166">
        <f>VLOOKUP($A$11,'[1]6.2. отчет'!$D:$GJ,183,0)</f>
        <v>0</v>
      </c>
      <c r="H56" s="166">
        <f>VLOOKUP($A$11,'[1]6.2. отчет'!$D:$AGO,194,0)</f>
        <v>0</v>
      </c>
      <c r="I56" s="166">
        <f>VLOOKUP($A$11,'[1]6.2. отчет'!$D:$AGO,249,0)</f>
        <v>0</v>
      </c>
      <c r="J56" s="166">
        <f>VLOOKUP($A$11,'[1]6.2. отчет'!$D:$AGO,260,0)</f>
        <v>0</v>
      </c>
      <c r="K56" s="166">
        <f>VLOOKUP($A$11,'[1]6.2. отчет'!$D:$AGO,315,0)</f>
        <v>0</v>
      </c>
    </row>
    <row r="57" spans="1:11" s="38" customFormat="1" x14ac:dyDescent="0.25">
      <c r="A57" s="13" t="s">
        <v>71</v>
      </c>
      <c r="B57" s="7" t="s">
        <v>449</v>
      </c>
      <c r="C57" s="166">
        <f>VLOOKUP($A$11,'[1]6.2. отчет'!$D:$FX,175,0)</f>
        <v>0</v>
      </c>
      <c r="D57" s="219">
        <f>VLOOKUP($A$11,'[1]6.2. отчет'!$D:$OZ,412,0)</f>
        <v>0</v>
      </c>
      <c r="E57" s="166">
        <f t="shared" si="9"/>
        <v>0</v>
      </c>
      <c r="F57" s="166">
        <f t="shared" si="10"/>
        <v>0</v>
      </c>
      <c r="G57" s="166">
        <f>VLOOKUP($A$11,'[1]6.2. отчет'!$D:$GJ,187,0)</f>
        <v>0</v>
      </c>
      <c r="H57" s="166">
        <f>VLOOKUP($A$11,'[1]6.2. отчет'!$D:$AGO,198,0)</f>
        <v>0</v>
      </c>
      <c r="I57" s="166">
        <f>VLOOKUP($A$11,'[1]6.2. отчет'!$D:$AGO,253,0)</f>
        <v>0</v>
      </c>
      <c r="J57" s="166">
        <f>VLOOKUP($A$11,'[1]6.2. отчет'!$D:$AGO,264,0)</f>
        <v>0</v>
      </c>
      <c r="K57" s="166">
        <f>VLOOKUP($A$11,'[1]6.2. отчет'!$D:$AGO,319,0)</f>
        <v>0</v>
      </c>
    </row>
    <row r="58" spans="1:11" s="38" customFormat="1" ht="31.5" x14ac:dyDescent="0.25">
      <c r="A58" s="15" t="s">
        <v>47</v>
      </c>
      <c r="B58" s="62" t="s">
        <v>165</v>
      </c>
      <c r="C58" s="166"/>
      <c r="D58" s="166"/>
      <c r="E58" s="166"/>
      <c r="F58" s="166"/>
      <c r="G58" s="166"/>
      <c r="H58" s="166"/>
      <c r="I58" s="166"/>
      <c r="J58" s="166"/>
      <c r="K58" s="166"/>
    </row>
    <row r="59" spans="1:11" s="38" customFormat="1" x14ac:dyDescent="0.25">
      <c r="A59" s="15" t="s">
        <v>45</v>
      </c>
      <c r="B59" s="14" t="s">
        <v>70</v>
      </c>
      <c r="C59" s="166"/>
      <c r="D59" s="166"/>
      <c r="E59" s="166"/>
      <c r="F59" s="166"/>
      <c r="G59" s="166"/>
      <c r="H59" s="166"/>
      <c r="I59" s="166"/>
      <c r="J59" s="166"/>
      <c r="K59" s="166"/>
    </row>
    <row r="60" spans="1:11" s="96" customFormat="1" x14ac:dyDescent="0.25">
      <c r="A60" s="13" t="s">
        <v>159</v>
      </c>
      <c r="B60" s="188" t="s">
        <v>90</v>
      </c>
      <c r="C60" s="166">
        <f>VLOOKUP($A$11,'[1]6.2. отчет'!$D:$AGO,326,0)</f>
        <v>0</v>
      </c>
      <c r="D60" s="166">
        <f t="shared" ref="D60:D64" si="11">J60</f>
        <v>0</v>
      </c>
      <c r="E60" s="166">
        <f t="shared" ref="E60:E64" si="12">F60+G60</f>
        <v>0</v>
      </c>
      <c r="F60" s="166">
        <f t="shared" ref="F60:F64" si="13">C60</f>
        <v>0</v>
      </c>
      <c r="G60" s="166">
        <f>VLOOKUP($A$11,'[1]6.2. отчет'!$D:$AGO,333,0)</f>
        <v>0</v>
      </c>
      <c r="H60" s="166">
        <f>VLOOKUP($A$11,'[1]6.2. отчет'!$D:$AGO,341,0)</f>
        <v>0</v>
      </c>
      <c r="I60" s="166">
        <f>VLOOKUP($A$11,'[1]6.2. отчет'!$D:$AGO,366,0)</f>
        <v>0</v>
      </c>
      <c r="J60" s="166">
        <f>VLOOKUP($A$11,'[1]6.2. отчет'!$D:$AGO,371,0)</f>
        <v>0</v>
      </c>
      <c r="K60" s="166">
        <f>VLOOKUP($A$11,'[1]6.2. отчет'!$D:$AGO,396,0)</f>
        <v>0</v>
      </c>
    </row>
    <row r="61" spans="1:11" s="38" customFormat="1" x14ac:dyDescent="0.25">
      <c r="A61" s="13" t="s">
        <v>160</v>
      </c>
      <c r="B61" s="188" t="s">
        <v>88</v>
      </c>
      <c r="C61" s="166">
        <f>VLOOKUP($A$11,'[1]6.2. отчет'!$D:$AGO,327,0)</f>
        <v>0</v>
      </c>
      <c r="D61" s="166">
        <f t="shared" si="11"/>
        <v>0</v>
      </c>
      <c r="E61" s="166">
        <f t="shared" si="12"/>
        <v>0</v>
      </c>
      <c r="F61" s="166">
        <f t="shared" si="13"/>
        <v>0</v>
      </c>
      <c r="G61" s="166">
        <f>VLOOKUP($A$11,'[1]6.2. отчет'!$D:$AGO,334,0)</f>
        <v>0</v>
      </c>
      <c r="H61" s="166">
        <f>VLOOKUP($A$11,'[1]6.2. отчет'!$D:$AGO,338,0)</f>
        <v>0</v>
      </c>
      <c r="I61" s="166">
        <f>VLOOKUP($A$11,'[1]6.2. отчет'!$D:$AGO,363,0)</f>
        <v>0</v>
      </c>
      <c r="J61" s="166">
        <f>VLOOKUP($A$11,'[1]6.2. отчет'!$D:$AGO,368,0)</f>
        <v>0</v>
      </c>
      <c r="K61" s="166">
        <f>VLOOKUP($A$11,'[1]6.2. отчет'!$D:$AGO,393,0)</f>
        <v>0</v>
      </c>
    </row>
    <row r="62" spans="1:11" s="38" customFormat="1" x14ac:dyDescent="0.25">
      <c r="A62" s="13" t="s">
        <v>161</v>
      </c>
      <c r="B62" s="188" t="s">
        <v>86</v>
      </c>
      <c r="C62" s="166">
        <f>VLOOKUP($A$11,'[1]6.2. отчет'!$D:$AGO,328,0)</f>
        <v>0</v>
      </c>
      <c r="D62" s="166">
        <f t="shared" si="11"/>
        <v>0</v>
      </c>
      <c r="E62" s="166">
        <f t="shared" si="12"/>
        <v>0</v>
      </c>
      <c r="F62" s="166">
        <f t="shared" si="13"/>
        <v>0</v>
      </c>
      <c r="G62" s="166">
        <f>VLOOKUP($A$11,'[1]6.2. отчет'!$D:$AGO,335,0)</f>
        <v>0</v>
      </c>
      <c r="H62" s="166">
        <f>VLOOKUP($A$11,'[1]6.2. отчет'!$D:$AGO,339,0)</f>
        <v>0</v>
      </c>
      <c r="I62" s="166">
        <f>VLOOKUP($A$11,'[1]6.2. отчет'!$D:$AGO,364,0)</f>
        <v>0</v>
      </c>
      <c r="J62" s="166">
        <f>VLOOKUP($A$11,'[1]6.2. отчет'!$D:$AGO,369,0)</f>
        <v>0</v>
      </c>
      <c r="K62" s="166">
        <f>VLOOKUP($A$11,'[1]6.2. отчет'!$D:$AGO,394,0)</f>
        <v>0</v>
      </c>
    </row>
    <row r="63" spans="1:11" s="38" customFormat="1" x14ac:dyDescent="0.25">
      <c r="A63" s="13" t="s">
        <v>162</v>
      </c>
      <c r="B63" s="188" t="s">
        <v>164</v>
      </c>
      <c r="C63" s="166">
        <f>VLOOKUP($A$11,'[1]6.2. отчет'!$D:$AGO,329,0)</f>
        <v>0</v>
      </c>
      <c r="D63" s="166">
        <f t="shared" si="11"/>
        <v>0</v>
      </c>
      <c r="E63" s="166">
        <f t="shared" si="12"/>
        <v>0</v>
      </c>
      <c r="F63" s="166">
        <f t="shared" si="13"/>
        <v>0</v>
      </c>
      <c r="G63" s="166">
        <f>VLOOKUP($A$11,'[1]6.2. отчет'!$D:$AGO,336,0)</f>
        <v>0</v>
      </c>
      <c r="H63" s="166">
        <f>VLOOKUP($A$11,'[1]6.2. отчет'!$D:$AGO,340,0)</f>
        <v>0</v>
      </c>
      <c r="I63" s="166">
        <f>VLOOKUP($A$11,'[1]6.2. отчет'!$D:$AGO,365,0)</f>
        <v>0</v>
      </c>
      <c r="J63" s="166">
        <f>VLOOKUP($A$11,'[1]6.2. отчет'!$D:$AGO,370,0)</f>
        <v>0</v>
      </c>
      <c r="K63" s="166">
        <f>VLOOKUP($A$11,'[1]6.2. отчет'!$D:$AGO,395,0)</f>
        <v>0</v>
      </c>
    </row>
    <row r="64" spans="1:11" s="38" customFormat="1" ht="18.75" x14ac:dyDescent="0.25">
      <c r="A64" s="13" t="s">
        <v>163</v>
      </c>
      <c r="B64" s="59" t="s">
        <v>65</v>
      </c>
      <c r="C64" s="166">
        <f>VLOOKUP($A$11,'[1]6.2. отчет'!$D:$AGO,330,0)</f>
        <v>0</v>
      </c>
      <c r="D64" s="166">
        <f t="shared" si="11"/>
        <v>0</v>
      </c>
      <c r="E64" s="166">
        <f t="shared" si="12"/>
        <v>0</v>
      </c>
      <c r="F64" s="166">
        <f t="shared" si="13"/>
        <v>0</v>
      </c>
      <c r="G64" s="166">
        <f>VLOOKUP($A$11,'[1]6.2. отчет'!$D:$AGO,337,0)</f>
        <v>0</v>
      </c>
      <c r="H64" s="166">
        <f>VLOOKUP($A$11,'[1]6.2. отчет'!$D:$AGO,342,0)</f>
        <v>0</v>
      </c>
      <c r="I64" s="166">
        <f>VLOOKUP($A$11,'[1]6.2. отчет'!$D:$AGO,367,0)</f>
        <v>0</v>
      </c>
      <c r="J64" s="166">
        <f>VLOOKUP($A$11,'[1]6.2. отчет'!$D:$AGO,372,0)</f>
        <v>0</v>
      </c>
      <c r="K64" s="166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314"/>
      <c r="C66" s="314"/>
      <c r="D66" s="314"/>
      <c r="E66" s="314"/>
      <c r="F66" s="314"/>
      <c r="G66" s="314"/>
      <c r="H66" s="314"/>
      <c r="I66" s="314"/>
      <c r="J66" s="314"/>
      <c r="K66" s="314"/>
    </row>
    <row r="68" spans="1:11" ht="50.25" customHeight="1" x14ac:dyDescent="0.25">
      <c r="B68" s="315"/>
      <c r="C68" s="315"/>
      <c r="D68" s="315"/>
      <c r="E68" s="315"/>
      <c r="F68" s="315"/>
      <c r="G68" s="315"/>
      <c r="H68" s="315"/>
      <c r="I68" s="315"/>
      <c r="J68" s="315"/>
      <c r="K68" s="315"/>
    </row>
    <row r="70" spans="1:11" ht="36.75" customHeight="1" x14ac:dyDescent="0.25">
      <c r="B70" s="314"/>
      <c r="C70" s="314"/>
      <c r="D70" s="314"/>
      <c r="E70" s="314"/>
      <c r="F70" s="314"/>
      <c r="G70" s="314"/>
      <c r="H70" s="314"/>
      <c r="I70" s="314"/>
      <c r="J70" s="314"/>
      <c r="K70" s="314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314"/>
      <c r="C72" s="314"/>
      <c r="D72" s="314"/>
      <c r="E72" s="314"/>
      <c r="F72" s="314"/>
      <c r="G72" s="314"/>
      <c r="H72" s="314"/>
      <c r="I72" s="314"/>
      <c r="J72" s="314"/>
      <c r="K72" s="314"/>
    </row>
    <row r="73" spans="1:11" ht="32.25" customHeight="1" x14ac:dyDescent="0.25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pans="1:11" ht="51.75" customHeight="1" x14ac:dyDescent="0.25">
      <c r="B74" s="314"/>
      <c r="C74" s="314"/>
      <c r="D74" s="314"/>
      <c r="E74" s="314"/>
      <c r="F74" s="314"/>
      <c r="G74" s="314"/>
      <c r="H74" s="314"/>
      <c r="I74" s="314"/>
      <c r="J74" s="314"/>
      <c r="K74" s="314"/>
    </row>
    <row r="75" spans="1:11" ht="21.75" customHeight="1" x14ac:dyDescent="0.25">
      <c r="B75" s="316"/>
      <c r="C75" s="316"/>
      <c r="D75" s="316"/>
      <c r="E75" s="316"/>
      <c r="F75" s="316"/>
      <c r="G75" s="316"/>
      <c r="H75" s="316"/>
      <c r="I75" s="316"/>
      <c r="J75" s="316"/>
      <c r="K75" s="316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313"/>
      <c r="C77" s="313"/>
      <c r="D77" s="313"/>
      <c r="E77" s="313"/>
      <c r="F77" s="313"/>
      <c r="G77" s="313"/>
      <c r="H77" s="313"/>
      <c r="I77" s="313"/>
      <c r="J77" s="313"/>
      <c r="K77" s="313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"/>
  <sheetViews>
    <sheetView view="pageBreakPreview" topLeftCell="W14" zoomScale="70" zoomScaleNormal="100" zoomScaleSheetLayoutView="70" workbookViewId="0">
      <selection activeCell="M27" sqref="A27:XFD28"/>
    </sheetView>
  </sheetViews>
  <sheetFormatPr defaultColWidth="9.140625" defaultRowHeight="15" x14ac:dyDescent="0.25"/>
  <cols>
    <col min="1" max="1" width="6.140625" style="91" customWidth="1"/>
    <col min="2" max="2" width="23.140625" style="91" customWidth="1"/>
    <col min="3" max="3" width="18.28515625" style="91" bestFit="1" customWidth="1"/>
    <col min="4" max="4" width="15.140625" style="91" customWidth="1"/>
    <col min="5" max="12" width="7.7109375" style="91" customWidth="1"/>
    <col min="13" max="13" width="14.5703125" style="91" customWidth="1"/>
    <col min="14" max="14" width="45.28515625" style="91" customWidth="1"/>
    <col min="15" max="15" width="10.7109375" style="91" customWidth="1"/>
    <col min="16" max="17" width="13.42578125" style="91" customWidth="1"/>
    <col min="18" max="18" width="17" style="91" customWidth="1"/>
    <col min="19" max="20" width="9.7109375" style="91" customWidth="1"/>
    <col min="21" max="21" width="11.42578125" style="91" customWidth="1"/>
    <col min="22" max="22" width="12.7109375" style="91" customWidth="1"/>
    <col min="23" max="23" width="19" style="91" customWidth="1"/>
    <col min="24" max="24" width="15.5703125" style="91" customWidth="1"/>
    <col min="25" max="25" width="10.7109375" style="91" customWidth="1"/>
    <col min="26" max="26" width="7.7109375" style="91" customWidth="1"/>
    <col min="27" max="27" width="15" style="91" customWidth="1"/>
    <col min="28" max="28" width="19.7109375" style="91" customWidth="1"/>
    <col min="29" max="29" width="15" style="91" customWidth="1"/>
    <col min="30" max="30" width="13.42578125" style="91" customWidth="1"/>
    <col min="31" max="31" width="14.28515625" style="91" customWidth="1"/>
    <col min="32" max="32" width="19.85546875" style="91" customWidth="1"/>
    <col min="33" max="33" width="14.85546875" style="91" customWidth="1"/>
    <col min="34" max="36" width="11.5703125" style="91" customWidth="1"/>
    <col min="37" max="39" width="13.85546875" style="91" customWidth="1"/>
    <col min="40" max="40" width="7.140625" style="91" customWidth="1"/>
    <col min="41" max="41" width="9.5703125" style="91" customWidth="1"/>
    <col min="42" max="42" width="13.42578125" style="91" customWidth="1"/>
    <col min="43" max="43" width="14" style="91" customWidth="1"/>
    <col min="44" max="44" width="14.140625" style="91" customWidth="1"/>
    <col min="45" max="46" width="13.28515625" style="91" customWidth="1"/>
    <col min="47" max="47" width="10.7109375" style="91" customWidth="1"/>
    <col min="48" max="48" width="39.5703125" style="91" customWidth="1"/>
    <col min="49" max="16384" width="9.140625" style="91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231" t="str">
        <f>'1. паспорт местоположение'!$A$5</f>
        <v>Год раскрытия информации: 2025 год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</row>
    <row r="6" spans="1:48" ht="18.75" x14ac:dyDescent="0.3">
      <c r="AV6" s="29"/>
    </row>
    <row r="7" spans="1:48" ht="18.75" x14ac:dyDescent="0.25">
      <c r="A7" s="235" t="s">
        <v>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</row>
    <row r="8" spans="1:48" ht="18.75" x14ac:dyDescent="0.2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</row>
    <row r="9" spans="1:48" ht="15.75" x14ac:dyDescent="0.25">
      <c r="A9" s="236" t="s">
        <v>287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</row>
    <row r="10" spans="1:48" ht="15.75" x14ac:dyDescent="0.25">
      <c r="A10" s="237" t="s">
        <v>4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</row>
    <row r="11" spans="1:48" ht="18.75" x14ac:dyDescent="0.25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</row>
    <row r="12" spans="1:48" ht="15.75" x14ac:dyDescent="0.25">
      <c r="A12" s="236" t="str">
        <f>'6.2. Паспорт фин осв ввод'!A11:K11</f>
        <v>M_Che442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</row>
    <row r="13" spans="1:48" ht="15.75" x14ac:dyDescent="0.25">
      <c r="A13" s="237" t="s">
        <v>3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</row>
    <row r="14" spans="1:48" ht="18.75" x14ac:dyDescent="0.25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</row>
    <row r="15" spans="1:48" ht="15.75" x14ac:dyDescent="0.25">
      <c r="A15" s="236" t="str">
        <f>'6.2. Паспорт фин осв ввод'!A14:K14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</row>
    <row r="16" spans="1:48" ht="15.75" x14ac:dyDescent="0.25">
      <c r="A16" s="237" t="s">
        <v>2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</row>
    <row r="17" spans="1:48" x14ac:dyDescent="0.25">
      <c r="A17" s="326"/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6"/>
      <c r="AM17" s="326"/>
      <c r="AN17" s="326"/>
      <c r="AO17" s="326"/>
      <c r="AP17" s="326"/>
      <c r="AQ17" s="326"/>
      <c r="AR17" s="326"/>
      <c r="AS17" s="326"/>
      <c r="AT17" s="326"/>
      <c r="AU17" s="326"/>
      <c r="AV17" s="326"/>
    </row>
    <row r="18" spans="1:48" ht="14.25" customHeight="1" x14ac:dyDescent="0.25">
      <c r="A18" s="326"/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</row>
    <row r="19" spans="1:48" x14ac:dyDescent="0.25">
      <c r="A19" s="326"/>
      <c r="B19" s="326"/>
      <c r="C19" s="326"/>
      <c r="D19" s="326"/>
      <c r="E19" s="326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  <c r="AI19" s="326"/>
      <c r="AJ19" s="326"/>
      <c r="AK19" s="326"/>
      <c r="AL19" s="326"/>
      <c r="AM19" s="326"/>
      <c r="AN19" s="326"/>
      <c r="AO19" s="326"/>
      <c r="AP19" s="326"/>
      <c r="AQ19" s="326"/>
      <c r="AR19" s="326"/>
      <c r="AS19" s="326"/>
      <c r="AT19" s="326"/>
      <c r="AU19" s="326"/>
      <c r="AV19" s="326"/>
    </row>
    <row r="20" spans="1:48" x14ac:dyDescent="0.25">
      <c r="A20" s="326"/>
      <c r="B20" s="326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</row>
    <row r="21" spans="1:48" x14ac:dyDescent="0.25">
      <c r="A21" s="342" t="s">
        <v>277</v>
      </c>
      <c r="B21" s="342"/>
      <c r="C21" s="342"/>
      <c r="D21" s="342"/>
      <c r="E21" s="342"/>
      <c r="F21" s="342"/>
      <c r="G21" s="342"/>
      <c r="H21" s="342"/>
      <c r="I21" s="342"/>
      <c r="J21" s="342"/>
      <c r="K21" s="342"/>
      <c r="L21" s="342"/>
      <c r="M21" s="342"/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X21" s="342"/>
      <c r="Y21" s="342"/>
      <c r="Z21" s="342"/>
      <c r="AA21" s="342"/>
      <c r="AB21" s="342"/>
      <c r="AC21" s="342"/>
      <c r="AD21" s="342"/>
      <c r="AE21" s="342"/>
      <c r="AF21" s="342"/>
      <c r="AG21" s="342"/>
      <c r="AH21" s="342"/>
      <c r="AI21" s="342"/>
      <c r="AJ21" s="342"/>
      <c r="AK21" s="342"/>
      <c r="AL21" s="342"/>
      <c r="AM21" s="342"/>
      <c r="AN21" s="342"/>
      <c r="AO21" s="342"/>
      <c r="AP21" s="342"/>
      <c r="AQ21" s="342"/>
      <c r="AR21" s="342"/>
      <c r="AS21" s="342"/>
      <c r="AT21" s="342"/>
      <c r="AU21" s="342"/>
      <c r="AV21" s="342"/>
    </row>
    <row r="22" spans="1:48" s="92" customFormat="1" ht="58.5" customHeight="1" x14ac:dyDescent="0.25">
      <c r="A22" s="328" t="s">
        <v>41</v>
      </c>
      <c r="B22" s="343" t="s">
        <v>14</v>
      </c>
      <c r="C22" s="328" t="s">
        <v>40</v>
      </c>
      <c r="D22" s="328" t="s">
        <v>39</v>
      </c>
      <c r="E22" s="346" t="s">
        <v>283</v>
      </c>
      <c r="F22" s="347"/>
      <c r="G22" s="347"/>
      <c r="H22" s="347"/>
      <c r="I22" s="347"/>
      <c r="J22" s="347"/>
      <c r="K22" s="347"/>
      <c r="L22" s="348"/>
      <c r="M22" s="328" t="s">
        <v>38</v>
      </c>
      <c r="N22" s="328" t="s">
        <v>37</v>
      </c>
      <c r="O22" s="328" t="s">
        <v>36</v>
      </c>
      <c r="P22" s="327" t="s">
        <v>168</v>
      </c>
      <c r="Q22" s="327" t="s">
        <v>35</v>
      </c>
      <c r="R22" s="327" t="s">
        <v>34</v>
      </c>
      <c r="S22" s="327" t="s">
        <v>33</v>
      </c>
      <c r="T22" s="327"/>
      <c r="U22" s="354" t="s">
        <v>32</v>
      </c>
      <c r="V22" s="354" t="s">
        <v>31</v>
      </c>
      <c r="W22" s="327" t="s">
        <v>30</v>
      </c>
      <c r="X22" s="327" t="s">
        <v>29</v>
      </c>
      <c r="Y22" s="327" t="s">
        <v>28</v>
      </c>
      <c r="Z22" s="351" t="s">
        <v>27</v>
      </c>
      <c r="AA22" s="327" t="s">
        <v>26</v>
      </c>
      <c r="AB22" s="327" t="s">
        <v>25</v>
      </c>
      <c r="AC22" s="327" t="s">
        <v>24</v>
      </c>
      <c r="AD22" s="327" t="s">
        <v>23</v>
      </c>
      <c r="AE22" s="327" t="s">
        <v>22</v>
      </c>
      <c r="AF22" s="327" t="s">
        <v>21</v>
      </c>
      <c r="AG22" s="327"/>
      <c r="AH22" s="327"/>
      <c r="AI22" s="327"/>
      <c r="AJ22" s="327"/>
      <c r="AK22" s="327"/>
      <c r="AL22" s="357" t="s">
        <v>456</v>
      </c>
      <c r="AM22" s="357"/>
      <c r="AN22" s="357"/>
      <c r="AO22" s="357"/>
      <c r="AP22" s="327" t="s">
        <v>20</v>
      </c>
      <c r="AQ22" s="327"/>
      <c r="AR22" s="327" t="s">
        <v>19</v>
      </c>
      <c r="AS22" s="327" t="s">
        <v>18</v>
      </c>
      <c r="AT22" s="327" t="s">
        <v>17</v>
      </c>
      <c r="AU22" s="327" t="s">
        <v>16</v>
      </c>
      <c r="AV22" s="327" t="s">
        <v>15</v>
      </c>
    </row>
    <row r="23" spans="1:48" s="92" customFormat="1" ht="64.5" customHeight="1" x14ac:dyDescent="0.25">
      <c r="A23" s="335"/>
      <c r="B23" s="344"/>
      <c r="C23" s="335"/>
      <c r="D23" s="335"/>
      <c r="E23" s="349" t="s">
        <v>13</v>
      </c>
      <c r="F23" s="330" t="s">
        <v>69</v>
      </c>
      <c r="G23" s="330" t="s">
        <v>68</v>
      </c>
      <c r="H23" s="330" t="s">
        <v>67</v>
      </c>
      <c r="I23" s="358" t="s">
        <v>222</v>
      </c>
      <c r="J23" s="358" t="s">
        <v>223</v>
      </c>
      <c r="K23" s="358" t="s">
        <v>224</v>
      </c>
      <c r="L23" s="330" t="s">
        <v>64</v>
      </c>
      <c r="M23" s="335"/>
      <c r="N23" s="335"/>
      <c r="O23" s="335"/>
      <c r="P23" s="327"/>
      <c r="Q23" s="327"/>
      <c r="R23" s="327"/>
      <c r="S23" s="328" t="s">
        <v>0</v>
      </c>
      <c r="T23" s="328" t="s">
        <v>7</v>
      </c>
      <c r="U23" s="354"/>
      <c r="V23" s="354"/>
      <c r="W23" s="327"/>
      <c r="X23" s="327"/>
      <c r="Y23" s="327"/>
      <c r="Z23" s="327"/>
      <c r="AA23" s="327"/>
      <c r="AB23" s="327"/>
      <c r="AC23" s="327"/>
      <c r="AD23" s="327"/>
      <c r="AE23" s="327"/>
      <c r="AF23" s="327" t="s">
        <v>12</v>
      </c>
      <c r="AG23" s="327"/>
      <c r="AH23" s="357" t="s">
        <v>457</v>
      </c>
      <c r="AI23" s="357"/>
      <c r="AJ23" s="355" t="s">
        <v>458</v>
      </c>
      <c r="AK23" s="328" t="s">
        <v>11</v>
      </c>
      <c r="AL23" s="355" t="s">
        <v>459</v>
      </c>
      <c r="AM23" s="355" t="s">
        <v>460</v>
      </c>
      <c r="AN23" s="355" t="s">
        <v>461</v>
      </c>
      <c r="AO23" s="355" t="s">
        <v>462</v>
      </c>
      <c r="AP23" s="328" t="s">
        <v>10</v>
      </c>
      <c r="AQ23" s="352" t="s">
        <v>7</v>
      </c>
      <c r="AR23" s="327"/>
      <c r="AS23" s="327"/>
      <c r="AT23" s="327"/>
      <c r="AU23" s="327"/>
      <c r="AV23" s="327"/>
    </row>
    <row r="24" spans="1:48" s="92" customFormat="1" ht="96.75" customHeight="1" x14ac:dyDescent="0.25">
      <c r="A24" s="329"/>
      <c r="B24" s="345"/>
      <c r="C24" s="329"/>
      <c r="D24" s="329"/>
      <c r="E24" s="350"/>
      <c r="F24" s="331"/>
      <c r="G24" s="331"/>
      <c r="H24" s="331"/>
      <c r="I24" s="359"/>
      <c r="J24" s="359"/>
      <c r="K24" s="359"/>
      <c r="L24" s="331"/>
      <c r="M24" s="329"/>
      <c r="N24" s="329"/>
      <c r="O24" s="329"/>
      <c r="P24" s="327"/>
      <c r="Q24" s="327"/>
      <c r="R24" s="327"/>
      <c r="S24" s="329"/>
      <c r="T24" s="329"/>
      <c r="U24" s="354"/>
      <c r="V24" s="354"/>
      <c r="W24" s="327"/>
      <c r="X24" s="327"/>
      <c r="Y24" s="327"/>
      <c r="Z24" s="327"/>
      <c r="AA24" s="327"/>
      <c r="AB24" s="327"/>
      <c r="AC24" s="327"/>
      <c r="AD24" s="327"/>
      <c r="AE24" s="327"/>
      <c r="AF24" s="93" t="s">
        <v>9</v>
      </c>
      <c r="AG24" s="93" t="s">
        <v>8</v>
      </c>
      <c r="AH24" s="160" t="s">
        <v>0</v>
      </c>
      <c r="AI24" s="160" t="s">
        <v>7</v>
      </c>
      <c r="AJ24" s="356"/>
      <c r="AK24" s="329"/>
      <c r="AL24" s="356"/>
      <c r="AM24" s="356"/>
      <c r="AN24" s="356"/>
      <c r="AO24" s="356"/>
      <c r="AP24" s="329"/>
      <c r="AQ24" s="353"/>
      <c r="AR24" s="327"/>
      <c r="AS24" s="327"/>
      <c r="AT24" s="327"/>
      <c r="AU24" s="327"/>
      <c r="AV24" s="327"/>
    </row>
    <row r="25" spans="1:48" s="92" customFormat="1" x14ac:dyDescent="0.25">
      <c r="A25" s="94">
        <v>1</v>
      </c>
      <c r="B25" s="94">
        <v>2</v>
      </c>
      <c r="C25" s="94">
        <v>4</v>
      </c>
      <c r="D25" s="94">
        <v>5</v>
      </c>
      <c r="E25" s="94">
        <v>6</v>
      </c>
      <c r="F25" s="94">
        <f t="shared" ref="F25:AD25" si="0">E25+1</f>
        <v>7</v>
      </c>
      <c r="G25" s="94">
        <f t="shared" si="0"/>
        <v>8</v>
      </c>
      <c r="H25" s="94">
        <f t="shared" si="0"/>
        <v>9</v>
      </c>
      <c r="I25" s="94">
        <f t="shared" si="0"/>
        <v>10</v>
      </c>
      <c r="J25" s="94">
        <f t="shared" si="0"/>
        <v>11</v>
      </c>
      <c r="K25" s="94">
        <f t="shared" si="0"/>
        <v>12</v>
      </c>
      <c r="L25" s="94">
        <f t="shared" si="0"/>
        <v>13</v>
      </c>
      <c r="M25" s="94">
        <f t="shared" si="0"/>
        <v>14</v>
      </c>
      <c r="N25" s="94">
        <f t="shared" si="0"/>
        <v>15</v>
      </c>
      <c r="O25" s="94">
        <f t="shared" si="0"/>
        <v>16</v>
      </c>
      <c r="P25" s="94">
        <f t="shared" si="0"/>
        <v>17</v>
      </c>
      <c r="Q25" s="94">
        <f t="shared" si="0"/>
        <v>18</v>
      </c>
      <c r="R25" s="94">
        <f t="shared" si="0"/>
        <v>19</v>
      </c>
      <c r="S25" s="94">
        <f t="shared" si="0"/>
        <v>20</v>
      </c>
      <c r="T25" s="94">
        <f t="shared" si="0"/>
        <v>21</v>
      </c>
      <c r="U25" s="94">
        <f t="shared" si="0"/>
        <v>22</v>
      </c>
      <c r="V25" s="94">
        <f t="shared" si="0"/>
        <v>23</v>
      </c>
      <c r="W25" s="94">
        <f t="shared" si="0"/>
        <v>24</v>
      </c>
      <c r="X25" s="94">
        <f t="shared" si="0"/>
        <v>25</v>
      </c>
      <c r="Y25" s="94">
        <f t="shared" si="0"/>
        <v>26</v>
      </c>
      <c r="Z25" s="94">
        <f t="shared" si="0"/>
        <v>27</v>
      </c>
      <c r="AA25" s="94">
        <f t="shared" si="0"/>
        <v>28</v>
      </c>
      <c r="AB25" s="94">
        <f t="shared" si="0"/>
        <v>29</v>
      </c>
      <c r="AC25" s="94">
        <f t="shared" si="0"/>
        <v>30</v>
      </c>
      <c r="AD25" s="94">
        <f t="shared" si="0"/>
        <v>31</v>
      </c>
      <c r="AE25" s="94">
        <f t="shared" ref="AE25" si="1">AD25+1</f>
        <v>32</v>
      </c>
      <c r="AF25" s="94">
        <f t="shared" ref="AF25" si="2">AE25+1</f>
        <v>33</v>
      </c>
      <c r="AG25" s="94">
        <f t="shared" ref="AG25" si="3">AF25+1</f>
        <v>34</v>
      </c>
      <c r="AH25" s="94">
        <f t="shared" ref="AH25" si="4">AG25+1</f>
        <v>35</v>
      </c>
      <c r="AI25" s="94">
        <f t="shared" ref="AI25" si="5">AH25+1</f>
        <v>36</v>
      </c>
      <c r="AJ25" s="94">
        <f t="shared" ref="AJ25" si="6">AI25+1</f>
        <v>37</v>
      </c>
      <c r="AK25" s="94">
        <f t="shared" ref="AK25" si="7">AJ25+1</f>
        <v>38</v>
      </c>
      <c r="AL25" s="94">
        <f t="shared" ref="AL25" si="8">AK25+1</f>
        <v>39</v>
      </c>
      <c r="AM25" s="94">
        <f t="shared" ref="AM25" si="9">AL25+1</f>
        <v>40</v>
      </c>
      <c r="AN25" s="94">
        <f t="shared" ref="AN25" si="10">AM25+1</f>
        <v>41</v>
      </c>
      <c r="AO25" s="94">
        <f t="shared" ref="AO25" si="11">AN25+1</f>
        <v>42</v>
      </c>
      <c r="AP25" s="94">
        <f t="shared" ref="AP25" si="12">AO25+1</f>
        <v>43</v>
      </c>
      <c r="AQ25" s="94">
        <f t="shared" ref="AQ25" si="13">AP25+1</f>
        <v>44</v>
      </c>
      <c r="AR25" s="94">
        <f t="shared" ref="AR25" si="14">AQ25+1</f>
        <v>45</v>
      </c>
      <c r="AS25" s="94">
        <f t="shared" ref="AS25" si="15">AR25+1</f>
        <v>46</v>
      </c>
      <c r="AT25" s="94">
        <f t="shared" ref="AT25" si="16">AS25+1</f>
        <v>47</v>
      </c>
      <c r="AU25" s="94">
        <f t="shared" ref="AU25" si="17">AT25+1</f>
        <v>48</v>
      </c>
      <c r="AV25" s="94">
        <f t="shared" ref="AV25" si="18">AU25+1</f>
        <v>49</v>
      </c>
    </row>
    <row r="26" spans="1:48" s="92" customFormat="1" ht="60" x14ac:dyDescent="0.25">
      <c r="A26" s="95">
        <v>1</v>
      </c>
      <c r="B26" s="320" t="s">
        <v>287</v>
      </c>
      <c r="C26" s="323" t="s">
        <v>520</v>
      </c>
      <c r="D26" s="323" t="s">
        <v>301</v>
      </c>
      <c r="E26" s="317">
        <v>0</v>
      </c>
      <c r="F26" s="317">
        <v>0</v>
      </c>
      <c r="G26" s="317">
        <v>0</v>
      </c>
      <c r="H26" s="317">
        <v>0</v>
      </c>
      <c r="I26" s="317">
        <v>71</v>
      </c>
      <c r="J26" s="317">
        <v>0</v>
      </c>
      <c r="K26" s="317">
        <v>0</v>
      </c>
      <c r="L26" s="317">
        <v>0</v>
      </c>
      <c r="M26" s="178" t="s">
        <v>480</v>
      </c>
      <c r="N26" s="178" t="s">
        <v>480</v>
      </c>
      <c r="O26" s="179" t="s">
        <v>481</v>
      </c>
      <c r="P26" s="180">
        <v>101252.36049000001</v>
      </c>
      <c r="Q26" s="178" t="s">
        <v>482</v>
      </c>
      <c r="R26" s="180">
        <v>101252.36049000001</v>
      </c>
      <c r="S26" s="178" t="s">
        <v>483</v>
      </c>
      <c r="T26" s="178" t="s">
        <v>483</v>
      </c>
      <c r="U26" s="178">
        <v>2</v>
      </c>
      <c r="V26" s="178">
        <v>2</v>
      </c>
      <c r="W26" s="94" t="s">
        <v>484</v>
      </c>
      <c r="X26" s="182" t="s">
        <v>485</v>
      </c>
      <c r="Y26" s="181" t="s">
        <v>290</v>
      </c>
      <c r="Z26" s="178">
        <v>2</v>
      </c>
      <c r="AA26" s="182" t="s">
        <v>485</v>
      </c>
      <c r="AB26" s="180">
        <v>101201.73</v>
      </c>
      <c r="AC26" s="178" t="s">
        <v>486</v>
      </c>
      <c r="AD26" s="183">
        <v>121442.08117</v>
      </c>
      <c r="AE26" s="183"/>
      <c r="AF26" s="94">
        <v>32211334850</v>
      </c>
      <c r="AG26" s="184" t="s">
        <v>487</v>
      </c>
      <c r="AH26" s="185">
        <v>44672</v>
      </c>
      <c r="AI26" s="185">
        <v>44672</v>
      </c>
      <c r="AJ26" s="185">
        <v>44692</v>
      </c>
      <c r="AK26" s="185">
        <v>44734</v>
      </c>
      <c r="AL26" s="332" t="s">
        <v>488</v>
      </c>
      <c r="AM26" s="333"/>
      <c r="AN26" s="333"/>
      <c r="AO26" s="334"/>
      <c r="AP26" s="185">
        <v>44756</v>
      </c>
      <c r="AQ26" s="185">
        <v>44756</v>
      </c>
      <c r="AR26" s="185">
        <v>44756</v>
      </c>
      <c r="AS26" s="185">
        <v>44756</v>
      </c>
      <c r="AT26" s="185">
        <v>44926</v>
      </c>
      <c r="AU26" s="178"/>
      <c r="AV26" s="178" t="s">
        <v>517</v>
      </c>
    </row>
    <row r="27" spans="1:48" s="92" customFormat="1" ht="78.75" x14ac:dyDescent="0.25">
      <c r="A27" s="94">
        <v>2</v>
      </c>
      <c r="B27" s="321"/>
      <c r="C27" s="324"/>
      <c r="D27" s="324"/>
      <c r="E27" s="318"/>
      <c r="F27" s="318"/>
      <c r="G27" s="318"/>
      <c r="H27" s="318"/>
      <c r="I27" s="318"/>
      <c r="J27" s="318"/>
      <c r="K27" s="318"/>
      <c r="L27" s="318"/>
      <c r="M27" s="197" t="s">
        <v>513</v>
      </c>
      <c r="N27" s="200" t="s">
        <v>529</v>
      </c>
      <c r="O27" s="94" t="s">
        <v>287</v>
      </c>
      <c r="P27" s="183">
        <v>2412270.5099999998</v>
      </c>
      <c r="Q27" s="94" t="s">
        <v>482</v>
      </c>
      <c r="R27" s="183">
        <v>2412270.5099999998</v>
      </c>
      <c r="S27" s="94" t="s">
        <v>483</v>
      </c>
      <c r="T27" s="94" t="s">
        <v>483</v>
      </c>
      <c r="U27" s="94">
        <v>1</v>
      </c>
      <c r="V27" s="94">
        <v>1</v>
      </c>
      <c r="W27" s="94" t="s">
        <v>486</v>
      </c>
      <c r="X27" s="183">
        <v>2412270.5099999998</v>
      </c>
      <c r="Y27" s="181" t="s">
        <v>290</v>
      </c>
      <c r="Z27" s="94">
        <v>1</v>
      </c>
      <c r="AA27" s="183">
        <v>2412270.5099999998</v>
      </c>
      <c r="AB27" s="183">
        <v>2412270.5099999998</v>
      </c>
      <c r="AC27" s="94" t="s">
        <v>486</v>
      </c>
      <c r="AD27" s="183">
        <v>2894724.6120000002</v>
      </c>
      <c r="AE27" s="183">
        <v>1062574.0454599999</v>
      </c>
      <c r="AF27" s="94">
        <v>32312947768</v>
      </c>
      <c r="AG27" s="184" t="s">
        <v>487</v>
      </c>
      <c r="AH27" s="198">
        <v>45240</v>
      </c>
      <c r="AI27" s="198">
        <v>45240</v>
      </c>
      <c r="AJ27" s="198">
        <v>45261</v>
      </c>
      <c r="AK27" s="198">
        <v>45266</v>
      </c>
      <c r="AL27" s="332" t="s">
        <v>488</v>
      </c>
      <c r="AM27" s="333"/>
      <c r="AN27" s="333"/>
      <c r="AO27" s="334"/>
      <c r="AP27" s="199">
        <v>45275</v>
      </c>
      <c r="AQ27" s="199">
        <v>45275</v>
      </c>
      <c r="AR27" s="199">
        <v>45275</v>
      </c>
      <c r="AS27" s="199">
        <v>45275</v>
      </c>
      <c r="AT27" s="199">
        <v>45838</v>
      </c>
      <c r="AU27" s="184"/>
      <c r="AV27" s="184" t="s">
        <v>528</v>
      </c>
    </row>
    <row r="28" spans="1:48" s="92" customFormat="1" ht="63" x14ac:dyDescent="0.25">
      <c r="A28" s="95">
        <v>3</v>
      </c>
      <c r="B28" s="321"/>
      <c r="C28" s="324"/>
      <c r="D28" s="324"/>
      <c r="E28" s="318"/>
      <c r="F28" s="318"/>
      <c r="G28" s="318"/>
      <c r="H28" s="318"/>
      <c r="I28" s="318"/>
      <c r="J28" s="318"/>
      <c r="K28" s="318"/>
      <c r="L28" s="318"/>
      <c r="M28" s="197" t="s">
        <v>513</v>
      </c>
      <c r="N28" s="201" t="s">
        <v>530</v>
      </c>
      <c r="O28" s="94" t="s">
        <v>287</v>
      </c>
      <c r="P28" s="183">
        <v>534238.35832999996</v>
      </c>
      <c r="Q28" s="94" t="s">
        <v>482</v>
      </c>
      <c r="R28" s="183">
        <v>534238.35832999996</v>
      </c>
      <c r="S28" s="94" t="s">
        <v>483</v>
      </c>
      <c r="T28" s="94" t="s">
        <v>483</v>
      </c>
      <c r="U28" s="94">
        <v>1</v>
      </c>
      <c r="V28" s="94">
        <v>1</v>
      </c>
      <c r="W28" s="94" t="s">
        <v>486</v>
      </c>
      <c r="X28" s="183">
        <v>534238.35832999996</v>
      </c>
      <c r="Y28" s="181" t="s">
        <v>290</v>
      </c>
      <c r="Z28" s="94">
        <v>1</v>
      </c>
      <c r="AA28" s="183">
        <v>534238.35832999996</v>
      </c>
      <c r="AB28" s="183">
        <v>534238.35832999996</v>
      </c>
      <c r="AC28" s="94" t="s">
        <v>486</v>
      </c>
      <c r="AD28" s="183">
        <v>641086.03</v>
      </c>
      <c r="AE28" s="183">
        <v>199632.13909000001</v>
      </c>
      <c r="AF28" s="94" t="s">
        <v>514</v>
      </c>
      <c r="AG28" s="184" t="s">
        <v>487</v>
      </c>
      <c r="AH28" s="198">
        <v>45240</v>
      </c>
      <c r="AI28" s="198">
        <v>45240</v>
      </c>
      <c r="AJ28" s="198">
        <v>45257</v>
      </c>
      <c r="AK28" s="198">
        <v>45265</v>
      </c>
      <c r="AL28" s="332" t="s">
        <v>488</v>
      </c>
      <c r="AM28" s="333"/>
      <c r="AN28" s="333"/>
      <c r="AO28" s="334"/>
      <c r="AP28" s="198">
        <v>45275</v>
      </c>
      <c r="AQ28" s="198">
        <v>45275</v>
      </c>
      <c r="AR28" s="198">
        <v>45275</v>
      </c>
      <c r="AS28" s="198">
        <v>45275</v>
      </c>
      <c r="AT28" s="198">
        <v>45838</v>
      </c>
      <c r="AU28" s="184"/>
      <c r="AV28" s="184" t="s">
        <v>527</v>
      </c>
    </row>
    <row r="29" spans="1:48" s="92" customFormat="1" ht="60" customHeight="1" x14ac:dyDescent="0.25">
      <c r="A29" s="94">
        <v>4</v>
      </c>
      <c r="B29" s="321"/>
      <c r="C29" s="324"/>
      <c r="D29" s="324"/>
      <c r="E29" s="318"/>
      <c r="F29" s="318"/>
      <c r="G29" s="318"/>
      <c r="H29" s="318"/>
      <c r="I29" s="318"/>
      <c r="J29" s="318"/>
      <c r="K29" s="318"/>
      <c r="L29" s="318"/>
      <c r="M29" s="197" t="s">
        <v>521</v>
      </c>
      <c r="N29" s="201" t="s">
        <v>522</v>
      </c>
      <c r="O29" s="336" t="s">
        <v>481</v>
      </c>
      <c r="P29" s="183">
        <f>18732.84/1.2</f>
        <v>15610.7</v>
      </c>
      <c r="Q29" s="94" t="s">
        <v>523</v>
      </c>
      <c r="R29" s="183">
        <f>P29</f>
        <v>15610.7</v>
      </c>
      <c r="S29" s="94" t="s">
        <v>524</v>
      </c>
      <c r="T29" s="94" t="s">
        <v>524</v>
      </c>
      <c r="U29" s="94">
        <v>1</v>
      </c>
      <c r="V29" s="94">
        <v>1</v>
      </c>
      <c r="W29" s="94" t="s">
        <v>486</v>
      </c>
      <c r="X29" s="183">
        <f>18732840/1000/1.2</f>
        <v>15610.7</v>
      </c>
      <c r="Y29" s="181" t="s">
        <v>290</v>
      </c>
      <c r="Z29" s="94">
        <v>1</v>
      </c>
      <c r="AA29" s="183">
        <v>15610.7</v>
      </c>
      <c r="AB29" s="183">
        <f>18732840/1000/1.2</f>
        <v>15610.7</v>
      </c>
      <c r="AC29" s="94" t="s">
        <v>486</v>
      </c>
      <c r="AD29" s="183">
        <f>AB29*1.2</f>
        <v>18732.84</v>
      </c>
      <c r="AE29" s="183"/>
      <c r="AF29" s="95">
        <v>32312539891</v>
      </c>
      <c r="AG29" s="207" t="s">
        <v>525</v>
      </c>
      <c r="AH29" s="198">
        <v>45106</v>
      </c>
      <c r="AI29" s="198">
        <v>45106</v>
      </c>
      <c r="AJ29" s="198">
        <v>45145</v>
      </c>
      <c r="AK29" s="198">
        <v>45148</v>
      </c>
      <c r="AL29" s="332" t="s">
        <v>488</v>
      </c>
      <c r="AM29" s="333"/>
      <c r="AN29" s="333"/>
      <c r="AO29" s="334"/>
      <c r="AP29" s="198">
        <v>45168</v>
      </c>
      <c r="AQ29" s="198">
        <v>45168</v>
      </c>
      <c r="AR29" s="198">
        <v>45168</v>
      </c>
      <c r="AS29" s="198">
        <v>45168</v>
      </c>
      <c r="AT29" s="198">
        <v>45261</v>
      </c>
      <c r="AU29" s="184"/>
      <c r="AV29" s="184" t="s">
        <v>526</v>
      </c>
    </row>
    <row r="30" spans="1:48" ht="87" customHeight="1" x14ac:dyDescent="0.25">
      <c r="A30" s="95">
        <v>5</v>
      </c>
      <c r="B30" s="321"/>
      <c r="C30" s="324"/>
      <c r="D30" s="324"/>
      <c r="E30" s="318"/>
      <c r="F30" s="318"/>
      <c r="G30" s="318"/>
      <c r="H30" s="318"/>
      <c r="I30" s="318"/>
      <c r="J30" s="318"/>
      <c r="K30" s="318"/>
      <c r="L30" s="318"/>
      <c r="M30" s="94" t="s">
        <v>521</v>
      </c>
      <c r="N30" s="94" t="s">
        <v>515</v>
      </c>
      <c r="O30" s="337"/>
      <c r="P30" s="183">
        <f>11074.536/1.2</f>
        <v>9228.7800000000007</v>
      </c>
      <c r="Q30" s="94" t="s">
        <v>523</v>
      </c>
      <c r="R30" s="183">
        <f>P30</f>
        <v>9228.7800000000007</v>
      </c>
      <c r="S30" s="178" t="s">
        <v>301</v>
      </c>
      <c r="T30" s="178" t="s">
        <v>301</v>
      </c>
      <c r="U30" s="178" t="s">
        <v>301</v>
      </c>
      <c r="V30" s="178" t="s">
        <v>301</v>
      </c>
      <c r="W30" s="208" t="s">
        <v>532</v>
      </c>
      <c r="X30" s="209" t="s">
        <v>301</v>
      </c>
      <c r="Y30" s="210" t="s">
        <v>533</v>
      </c>
      <c r="Z30" s="211">
        <v>0</v>
      </c>
      <c r="AA30" s="209">
        <v>0</v>
      </c>
      <c r="AB30" s="212">
        <v>0</v>
      </c>
      <c r="AC30" s="94" t="s">
        <v>532</v>
      </c>
      <c r="AD30" s="202">
        <f>P30*1.2</f>
        <v>11074.536</v>
      </c>
      <c r="AE30" s="202">
        <v>707.61077</v>
      </c>
      <c r="AF30" s="339" t="s">
        <v>534</v>
      </c>
      <c r="AG30" s="340"/>
      <c r="AH30" s="340"/>
      <c r="AI30" s="340"/>
      <c r="AJ30" s="340"/>
      <c r="AK30" s="341"/>
      <c r="AL30" s="95" t="s">
        <v>301</v>
      </c>
      <c r="AM30" s="95" t="s">
        <v>301</v>
      </c>
      <c r="AN30" s="95" t="s">
        <v>301</v>
      </c>
      <c r="AO30" s="95" t="s">
        <v>301</v>
      </c>
      <c r="AP30" s="198">
        <v>45278</v>
      </c>
      <c r="AQ30" s="198">
        <v>45278</v>
      </c>
      <c r="AR30" s="198">
        <v>45278</v>
      </c>
      <c r="AS30" s="198">
        <v>45278</v>
      </c>
      <c r="AT30" s="203">
        <v>45838</v>
      </c>
      <c r="AU30" s="184"/>
      <c r="AV30" s="184" t="s">
        <v>531</v>
      </c>
    </row>
    <row r="31" spans="1:48" ht="67.5" customHeight="1" x14ac:dyDescent="0.25">
      <c r="A31" s="94">
        <v>6</v>
      </c>
      <c r="B31" s="322"/>
      <c r="C31" s="325"/>
      <c r="D31" s="325"/>
      <c r="E31" s="319"/>
      <c r="F31" s="319"/>
      <c r="G31" s="319"/>
      <c r="H31" s="319"/>
      <c r="I31" s="319"/>
      <c r="J31" s="319"/>
      <c r="K31" s="319"/>
      <c r="L31" s="319"/>
      <c r="M31" s="94" t="s">
        <v>521</v>
      </c>
      <c r="N31" s="94" t="s">
        <v>515</v>
      </c>
      <c r="O31" s="338"/>
      <c r="P31" s="183">
        <f>37663.404/1.2</f>
        <v>31386.170000000002</v>
      </c>
      <c r="Q31" s="94" t="s">
        <v>523</v>
      </c>
      <c r="R31" s="183">
        <f>P31</f>
        <v>31386.170000000002</v>
      </c>
      <c r="S31" s="178" t="s">
        <v>301</v>
      </c>
      <c r="T31" s="178" t="s">
        <v>301</v>
      </c>
      <c r="U31" s="178" t="s">
        <v>301</v>
      </c>
      <c r="V31" s="178" t="s">
        <v>301</v>
      </c>
      <c r="W31" s="208" t="s">
        <v>532</v>
      </c>
      <c r="X31" s="209" t="s">
        <v>301</v>
      </c>
      <c r="Y31" s="210" t="s">
        <v>533</v>
      </c>
      <c r="Z31" s="211">
        <v>0</v>
      </c>
      <c r="AA31" s="209">
        <v>0</v>
      </c>
      <c r="AB31" s="212">
        <v>0</v>
      </c>
      <c r="AC31" s="213" t="s">
        <v>532</v>
      </c>
      <c r="AD31" s="202">
        <f>P31*1.2</f>
        <v>37663.404000000002</v>
      </c>
      <c r="AE31" s="202">
        <v>3670.8744799999999</v>
      </c>
      <c r="AF31" s="339" t="s">
        <v>534</v>
      </c>
      <c r="AG31" s="340"/>
      <c r="AH31" s="340"/>
      <c r="AI31" s="340"/>
      <c r="AJ31" s="340"/>
      <c r="AK31" s="341"/>
      <c r="AL31" s="95" t="s">
        <v>301</v>
      </c>
      <c r="AM31" s="95" t="s">
        <v>301</v>
      </c>
      <c r="AN31" s="95" t="s">
        <v>301</v>
      </c>
      <c r="AO31" s="95" t="s">
        <v>301</v>
      </c>
      <c r="AP31" s="198">
        <v>45278</v>
      </c>
      <c r="AQ31" s="198">
        <v>45278</v>
      </c>
      <c r="AR31" s="198">
        <v>45278</v>
      </c>
      <c r="AS31" s="198">
        <v>45278</v>
      </c>
      <c r="AT31" s="203">
        <v>45838</v>
      </c>
      <c r="AU31" s="184"/>
      <c r="AV31" s="184" t="s">
        <v>535</v>
      </c>
    </row>
  </sheetData>
  <mergeCells count="85">
    <mergeCell ref="H23:H24"/>
    <mergeCell ref="K23:K24"/>
    <mergeCell ref="I23:I24"/>
    <mergeCell ref="J23:J24"/>
    <mergeCell ref="AK23:AK24"/>
    <mergeCell ref="AH23:AI23"/>
    <mergeCell ref="AJ23:AJ24"/>
    <mergeCell ref="AA22:AA24"/>
    <mergeCell ref="P22:P24"/>
    <mergeCell ref="Q22:Q24"/>
    <mergeCell ref="AE22:AE24"/>
    <mergeCell ref="W22:W24"/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AP22:AQ22"/>
    <mergeCell ref="L23:L24"/>
    <mergeCell ref="S23:S24"/>
    <mergeCell ref="AL26:AO26"/>
    <mergeCell ref="AT22:AT24"/>
    <mergeCell ref="AB22:AB24"/>
    <mergeCell ref="AC22:AC24"/>
    <mergeCell ref="O22:O24"/>
    <mergeCell ref="L26:L31"/>
    <mergeCell ref="O29:O31"/>
    <mergeCell ref="AF30:AK30"/>
    <mergeCell ref="AF31:AK31"/>
    <mergeCell ref="AL27:AO27"/>
    <mergeCell ref="AL28:AO28"/>
    <mergeCell ref="AL29:AO29"/>
    <mergeCell ref="A17:AV17"/>
    <mergeCell ref="A18:AV18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P23:AP24"/>
    <mergeCell ref="B26:B31"/>
    <mergeCell ref="C26:C31"/>
    <mergeCell ref="D26:D31"/>
    <mergeCell ref="E26:E31"/>
    <mergeCell ref="F26:F31"/>
    <mergeCell ref="G26:G31"/>
    <mergeCell ref="H26:H31"/>
    <mergeCell ref="I26:I31"/>
    <mergeCell ref="J26:J31"/>
    <mergeCell ref="K26:K31"/>
  </mergeCells>
  <phoneticPr fontId="47" type="noConversion"/>
  <hyperlinks>
    <hyperlink ref="AG29" r:id="rId1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view="pageBreakPreview" topLeftCell="A57" zoomScale="80" zoomScaleNormal="90" zoomScaleSheetLayoutView="80" workbookViewId="0">
      <selection activeCell="B62" sqref="B62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12.57031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361" t="str">
        <f>'1. паспорт местоположение'!$A$5</f>
        <v>Год раскрытия информации: 2025 год</v>
      </c>
      <c r="B5" s="361"/>
    </row>
    <row r="6" spans="1:2" ht="18.75" x14ac:dyDescent="0.3">
      <c r="A6" s="23"/>
      <c r="B6" s="23"/>
    </row>
    <row r="7" spans="1:2" x14ac:dyDescent="0.25">
      <c r="A7" s="362" t="s">
        <v>5</v>
      </c>
      <c r="B7" s="362"/>
    </row>
    <row r="8" spans="1:2" ht="18.75" x14ac:dyDescent="0.25">
      <c r="A8" s="61"/>
      <c r="B8" s="61"/>
    </row>
    <row r="9" spans="1:2" x14ac:dyDescent="0.25">
      <c r="A9" s="363" t="s">
        <v>287</v>
      </c>
      <c r="B9" s="363"/>
    </row>
    <row r="10" spans="1:2" x14ac:dyDescent="0.25">
      <c r="A10" s="237" t="s">
        <v>4</v>
      </c>
      <c r="B10" s="237"/>
    </row>
    <row r="11" spans="1:2" ht="18.75" x14ac:dyDescent="0.25">
      <c r="A11" s="61"/>
      <c r="B11" s="61"/>
    </row>
    <row r="12" spans="1:2" ht="30.75" customHeight="1" x14ac:dyDescent="0.25">
      <c r="A12" s="363" t="str">
        <f>'6.2. Паспорт фин осв ввод'!A11:K11</f>
        <v>M_Che442</v>
      </c>
      <c r="B12" s="363"/>
    </row>
    <row r="13" spans="1:2" x14ac:dyDescent="0.25">
      <c r="A13" s="237" t="s">
        <v>3</v>
      </c>
      <c r="B13" s="237"/>
    </row>
    <row r="14" spans="1:2" ht="18.75" x14ac:dyDescent="0.25">
      <c r="A14" s="1"/>
      <c r="B14" s="1"/>
    </row>
    <row r="15" spans="1:2" ht="57.75" customHeight="1" x14ac:dyDescent="0.25">
      <c r="A15" s="365" t="str">
        <f>'6.2. Паспорт фин осв ввод'!A14:K14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65"/>
    </row>
    <row r="16" spans="1:2" x14ac:dyDescent="0.25">
      <c r="A16" s="237" t="s">
        <v>2</v>
      </c>
      <c r="B16" s="237"/>
    </row>
    <row r="17" spans="1:9" x14ac:dyDescent="0.25">
      <c r="B17" s="84"/>
    </row>
    <row r="18" spans="1:9" ht="20.25" customHeight="1" x14ac:dyDescent="0.25">
      <c r="A18" s="364" t="s">
        <v>278</v>
      </c>
      <c r="B18" s="361"/>
    </row>
    <row r="19" spans="1:9" ht="10.5" customHeight="1" x14ac:dyDescent="0.25">
      <c r="B19" s="6"/>
    </row>
    <row r="20" spans="1:9" ht="10.5" customHeight="1" x14ac:dyDescent="0.25">
      <c r="B20" s="85"/>
    </row>
    <row r="21" spans="1:9" ht="90" x14ac:dyDescent="0.25">
      <c r="A21" s="142" t="s">
        <v>173</v>
      </c>
      <c r="B21" s="86" t="str">
        <f>'1. паспорт местоположение'!A15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9" x14ac:dyDescent="0.25">
      <c r="A22" s="142" t="s">
        <v>174</v>
      </c>
      <c r="B22" s="86" t="str">
        <f>'1. паспорт местоположение'!C27</f>
        <v>Итум-Калинский район, Шалинский район</v>
      </c>
    </row>
    <row r="23" spans="1:9" ht="30" x14ac:dyDescent="0.25">
      <c r="A23" s="142" t="s">
        <v>170</v>
      </c>
      <c r="B23" s="86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2" t="s">
        <v>175</v>
      </c>
      <c r="B24" s="87" t="s">
        <v>504</v>
      </c>
    </row>
    <row r="25" spans="1:9" x14ac:dyDescent="0.25">
      <c r="A25" s="143" t="s">
        <v>176</v>
      </c>
      <c r="B25" s="220">
        <f>VLOOKUP($A$12,'[1]6.2. отчет'!$D:$OM,400,0)</f>
        <v>2025</v>
      </c>
    </row>
    <row r="26" spans="1:9" x14ac:dyDescent="0.25">
      <c r="A26" s="143" t="s">
        <v>177</v>
      </c>
      <c r="B26" s="87" t="s">
        <v>505</v>
      </c>
      <c r="I26" s="88"/>
    </row>
    <row r="27" spans="1:9" ht="27.75" customHeight="1" x14ac:dyDescent="0.25">
      <c r="A27" s="144" t="s">
        <v>450</v>
      </c>
      <c r="B27" s="89">
        <f>'6.2. Паспорт фин осв ввод'!C24</f>
        <v>4012.4142746270718</v>
      </c>
      <c r="C27" s="138"/>
    </row>
    <row r="28" spans="1:9" x14ac:dyDescent="0.25">
      <c r="A28" s="145" t="s">
        <v>178</v>
      </c>
      <c r="B28" s="145" t="s">
        <v>289</v>
      </c>
    </row>
    <row r="29" spans="1:9" x14ac:dyDescent="0.25">
      <c r="A29" s="144" t="s">
        <v>179</v>
      </c>
      <c r="B29" s="146">
        <f>B30</f>
        <v>3724.7235031700002</v>
      </c>
    </row>
    <row r="30" spans="1:9" ht="28.5" x14ac:dyDescent="0.25">
      <c r="A30" s="144" t="s">
        <v>180</v>
      </c>
      <c r="B30" s="89">
        <f>B33+B38+B48+B53+B58+B63</f>
        <v>3724.7235031700002</v>
      </c>
    </row>
    <row r="31" spans="1:9" x14ac:dyDescent="0.25">
      <c r="A31" s="145" t="s">
        <v>181</v>
      </c>
      <c r="B31" s="145"/>
    </row>
    <row r="32" spans="1:9" s="192" customFormat="1" ht="31.5" customHeight="1" x14ac:dyDescent="0.25">
      <c r="A32" s="144" t="s">
        <v>182</v>
      </c>
      <c r="B32" s="204" t="s">
        <v>519</v>
      </c>
    </row>
    <row r="33" spans="1:2" s="192" customFormat="1" x14ac:dyDescent="0.25">
      <c r="A33" s="193" t="s">
        <v>508</v>
      </c>
      <c r="B33" s="190">
        <f>'7. Паспорт отчет о закупке'!AD28/1000</f>
        <v>641.08603000000005</v>
      </c>
    </row>
    <row r="34" spans="1:2" s="192" customFormat="1" x14ac:dyDescent="0.25">
      <c r="A34" s="193" t="s">
        <v>184</v>
      </c>
      <c r="B34" s="191" t="s">
        <v>301</v>
      </c>
    </row>
    <row r="35" spans="1:2" s="192" customFormat="1" x14ac:dyDescent="0.25">
      <c r="A35" s="193" t="s">
        <v>185</v>
      </c>
      <c r="B35" s="190">
        <v>505.78459736000002</v>
      </c>
    </row>
    <row r="36" spans="1:2" s="192" customFormat="1" x14ac:dyDescent="0.25">
      <c r="A36" s="193" t="s">
        <v>186</v>
      </c>
      <c r="B36" s="190">
        <v>558.31131864999998</v>
      </c>
    </row>
    <row r="37" spans="1:2" s="192" customFormat="1" ht="30.75" customHeight="1" x14ac:dyDescent="0.25">
      <c r="A37" s="144" t="s">
        <v>182</v>
      </c>
      <c r="B37" s="204" t="s">
        <v>518</v>
      </c>
    </row>
    <row r="38" spans="1:2" s="192" customFormat="1" x14ac:dyDescent="0.25">
      <c r="A38" s="193" t="s">
        <v>508</v>
      </c>
      <c r="B38" s="190">
        <f>'7. Паспорт отчет о закупке'!AD27/1000</f>
        <v>2894.724612</v>
      </c>
    </row>
    <row r="39" spans="1:2" s="192" customFormat="1" x14ac:dyDescent="0.25">
      <c r="A39" s="193" t="s">
        <v>184</v>
      </c>
      <c r="B39" s="191" t="s">
        <v>301</v>
      </c>
    </row>
    <row r="40" spans="1:2" s="192" customFormat="1" x14ac:dyDescent="0.25">
      <c r="A40" s="193" t="s">
        <v>185</v>
      </c>
      <c r="B40" s="190">
        <v>1941.3797948399999</v>
      </c>
    </row>
    <row r="41" spans="1:2" s="192" customFormat="1" x14ac:dyDescent="0.25">
      <c r="A41" s="193" t="s">
        <v>186</v>
      </c>
      <c r="B41" s="190">
        <v>1139.5502307900001</v>
      </c>
    </row>
    <row r="42" spans="1:2" ht="28.5" x14ac:dyDescent="0.25">
      <c r="A42" s="144" t="s">
        <v>187</v>
      </c>
      <c r="B42" s="145" t="s">
        <v>301</v>
      </c>
    </row>
    <row r="43" spans="1:2" x14ac:dyDescent="0.25">
      <c r="A43" s="145" t="s">
        <v>183</v>
      </c>
      <c r="B43" s="145" t="s">
        <v>301</v>
      </c>
    </row>
    <row r="44" spans="1:2" x14ac:dyDescent="0.25">
      <c r="A44" s="145" t="s">
        <v>184</v>
      </c>
      <c r="B44" s="145" t="s">
        <v>301</v>
      </c>
    </row>
    <row r="45" spans="1:2" x14ac:dyDescent="0.25">
      <c r="A45" s="145" t="s">
        <v>185</v>
      </c>
      <c r="B45" s="145" t="s">
        <v>301</v>
      </c>
    </row>
    <row r="46" spans="1:2" x14ac:dyDescent="0.25">
      <c r="A46" s="145" t="s">
        <v>186</v>
      </c>
      <c r="B46" s="145" t="s">
        <v>301</v>
      </c>
    </row>
    <row r="47" spans="1:2" ht="28.5" x14ac:dyDescent="0.25">
      <c r="A47" s="144" t="s">
        <v>188</v>
      </c>
      <c r="B47" s="144" t="s">
        <v>489</v>
      </c>
    </row>
    <row r="48" spans="1:2" x14ac:dyDescent="0.25">
      <c r="A48" s="145" t="s">
        <v>516</v>
      </c>
      <c r="B48" s="87">
        <f>'7. Паспорт отчет о закупке'!AD26/1000</f>
        <v>121.44208117000001</v>
      </c>
    </row>
    <row r="49" spans="1:2" x14ac:dyDescent="0.25">
      <c r="A49" s="145" t="s">
        <v>184</v>
      </c>
      <c r="B49" s="186">
        <f>B48/B27</f>
        <v>3.0266585865261202E-2</v>
      </c>
    </row>
    <row r="50" spans="1:2" x14ac:dyDescent="0.25">
      <c r="A50" s="145" t="s">
        <v>185</v>
      </c>
      <c r="B50" s="87">
        <v>121.44208116999999</v>
      </c>
    </row>
    <row r="51" spans="1:2" x14ac:dyDescent="0.25">
      <c r="A51" s="145" t="s">
        <v>186</v>
      </c>
      <c r="B51" s="87">
        <v>121.44208116999999</v>
      </c>
    </row>
    <row r="52" spans="1:2" s="192" customFormat="1" ht="28.5" x14ac:dyDescent="0.25">
      <c r="A52" s="144" t="s">
        <v>188</v>
      </c>
      <c r="B52" s="204" t="s">
        <v>509</v>
      </c>
    </row>
    <row r="53" spans="1:2" s="192" customFormat="1" x14ac:dyDescent="0.25">
      <c r="A53" s="193" t="s">
        <v>510</v>
      </c>
      <c r="B53" s="194">
        <f>'7. Паспорт отчет о закупке'!AD29/1000</f>
        <v>18.732839999999999</v>
      </c>
    </row>
    <row r="54" spans="1:2" s="192" customFormat="1" x14ac:dyDescent="0.25">
      <c r="A54" s="193" t="s">
        <v>184</v>
      </c>
      <c r="B54" s="195">
        <f>B53/B27</f>
        <v>4.6687203059911095E-3</v>
      </c>
    </row>
    <row r="55" spans="1:2" s="192" customFormat="1" x14ac:dyDescent="0.25">
      <c r="A55" s="193" t="s">
        <v>185</v>
      </c>
      <c r="B55" s="194">
        <v>18.732839999999999</v>
      </c>
    </row>
    <row r="56" spans="1:2" s="192" customFormat="1" x14ac:dyDescent="0.25">
      <c r="A56" s="193" t="s">
        <v>186</v>
      </c>
      <c r="B56" s="194">
        <v>18.732839999999999</v>
      </c>
    </row>
    <row r="57" spans="1:2" s="192" customFormat="1" ht="21" customHeight="1" x14ac:dyDescent="0.25">
      <c r="A57" s="144" t="s">
        <v>188</v>
      </c>
      <c r="B57" s="205" t="s">
        <v>511</v>
      </c>
    </row>
    <row r="58" spans="1:2" s="192" customFormat="1" x14ac:dyDescent="0.25">
      <c r="A58" s="193" t="s">
        <v>510</v>
      </c>
      <c r="B58" s="194">
        <f>'7. Паспорт отчет о закупке'!AD30/1000</f>
        <v>11.074536</v>
      </c>
    </row>
    <row r="59" spans="1:2" s="192" customFormat="1" x14ac:dyDescent="0.25">
      <c r="A59" s="193" t="s">
        <v>184</v>
      </c>
      <c r="B59" s="196">
        <f>B58/B27</f>
        <v>2.7600679396519463E-3</v>
      </c>
    </row>
    <row r="60" spans="1:2" s="192" customFormat="1" x14ac:dyDescent="0.25">
      <c r="A60" s="193" t="s">
        <v>185</v>
      </c>
      <c r="B60" s="194">
        <v>0.70761076999999994</v>
      </c>
    </row>
    <row r="61" spans="1:2" s="192" customFormat="1" x14ac:dyDescent="0.25">
      <c r="A61" s="193" t="s">
        <v>186</v>
      </c>
      <c r="B61" s="194">
        <v>9.2449738700000008</v>
      </c>
    </row>
    <row r="62" spans="1:2" s="192" customFormat="1" ht="18.75" customHeight="1" x14ac:dyDescent="0.25">
      <c r="A62" s="144" t="s">
        <v>188</v>
      </c>
      <c r="B62" s="205" t="s">
        <v>512</v>
      </c>
    </row>
    <row r="63" spans="1:2" s="192" customFormat="1" x14ac:dyDescent="0.25">
      <c r="A63" s="193" t="s">
        <v>510</v>
      </c>
      <c r="B63" s="194">
        <f>'7. Паспорт отчет о закупке'!AD31/1000</f>
        <v>37.663404</v>
      </c>
    </row>
    <row r="64" spans="1:2" s="192" customFormat="1" x14ac:dyDescent="0.25">
      <c r="A64" s="193" t="s">
        <v>184</v>
      </c>
      <c r="B64" s="195">
        <f>B63/B27</f>
        <v>9.3867186741330624E-3</v>
      </c>
    </row>
    <row r="65" spans="1:5" s="192" customFormat="1" x14ac:dyDescent="0.25">
      <c r="A65" s="193" t="s">
        <v>185</v>
      </c>
      <c r="B65" s="194">
        <v>5.5922275299999997</v>
      </c>
    </row>
    <row r="66" spans="1:5" s="192" customFormat="1" x14ac:dyDescent="0.25">
      <c r="A66" s="193" t="s">
        <v>186</v>
      </c>
      <c r="B66" s="194">
        <v>14.50426826</v>
      </c>
    </row>
    <row r="67" spans="1:5" ht="28.5" x14ac:dyDescent="0.25">
      <c r="A67" s="143" t="s">
        <v>189</v>
      </c>
      <c r="B67" s="148">
        <f>B69+B70+B71</f>
        <v>3.493530617125231E-2</v>
      </c>
    </row>
    <row r="68" spans="1:5" x14ac:dyDescent="0.25">
      <c r="A68" s="90" t="s">
        <v>181</v>
      </c>
      <c r="B68" s="149"/>
    </row>
    <row r="69" spans="1:5" x14ac:dyDescent="0.25">
      <c r="A69" s="90" t="s">
        <v>190</v>
      </c>
      <c r="B69" s="147">
        <v>0</v>
      </c>
    </row>
    <row r="70" spans="1:5" x14ac:dyDescent="0.25">
      <c r="A70" s="90" t="s">
        <v>191</v>
      </c>
      <c r="B70" s="147">
        <v>0</v>
      </c>
    </row>
    <row r="71" spans="1:5" x14ac:dyDescent="0.25">
      <c r="A71" s="90" t="s">
        <v>192</v>
      </c>
      <c r="B71" s="147">
        <f>B49+B54</f>
        <v>3.493530617125231E-2</v>
      </c>
    </row>
    <row r="72" spans="1:5" x14ac:dyDescent="0.25">
      <c r="A72" s="143" t="s">
        <v>452</v>
      </c>
      <c r="B72" s="206">
        <f>B73+B74</f>
        <v>8.0847999999999995</v>
      </c>
    </row>
    <row r="73" spans="1:5" x14ac:dyDescent="0.25">
      <c r="A73" s="143" t="s">
        <v>453</v>
      </c>
      <c r="B73" s="150">
        <v>8.0847999999999995</v>
      </c>
    </row>
    <row r="74" spans="1:5" x14ac:dyDescent="0.25">
      <c r="A74" s="143" t="s">
        <v>454</v>
      </c>
      <c r="B74" s="151">
        <v>0</v>
      </c>
    </row>
    <row r="75" spans="1:5" x14ac:dyDescent="0.25">
      <c r="A75" s="143" t="s">
        <v>193</v>
      </c>
      <c r="B75" s="152">
        <f>B76/$B$27</f>
        <v>0.6484185763474819</v>
      </c>
    </row>
    <row r="76" spans="1:5" x14ac:dyDescent="0.25">
      <c r="A76" s="143" t="s">
        <v>194</v>
      </c>
      <c r="B76" s="89">
        <f>'6.2. Паспорт фин осв ввод'!D24</f>
        <v>2601.7239516700001</v>
      </c>
      <c r="C76" s="138">
        <f>B35+B40+B50+B55+B60+B65+B72</f>
        <v>2601.7239516700001</v>
      </c>
      <c r="D76" s="141">
        <f>B76-C76</f>
        <v>0</v>
      </c>
      <c r="E76" s="140"/>
    </row>
    <row r="77" spans="1:5" x14ac:dyDescent="0.25">
      <c r="A77" s="143" t="s">
        <v>195</v>
      </c>
      <c r="B77" s="152">
        <f>$B78/'6.2. Паспорт фин осв ввод'!$C$30</f>
        <v>0.46642428838281935</v>
      </c>
      <c r="D77" s="141"/>
    </row>
    <row r="78" spans="1:5" x14ac:dyDescent="0.25">
      <c r="A78" s="143" t="s">
        <v>196</v>
      </c>
      <c r="B78" s="89">
        <f>'6.2. Паспорт фин осв ввод'!D30</f>
        <v>1559.57289395</v>
      </c>
      <c r="C78" s="139">
        <f>(B51+B36+B56+B61+B66+B41)/1.2+B72</f>
        <v>1559.5728939500002</v>
      </c>
      <c r="D78" s="141">
        <f>B78-C78</f>
        <v>0</v>
      </c>
      <c r="E78" s="140">
        <f>D78*1000000</f>
        <v>0</v>
      </c>
    </row>
    <row r="79" spans="1:5" x14ac:dyDescent="0.25">
      <c r="A79" s="153" t="s">
        <v>197</v>
      </c>
      <c r="B79" s="90"/>
    </row>
    <row r="80" spans="1:5" x14ac:dyDescent="0.25">
      <c r="A80" s="154" t="s">
        <v>198</v>
      </c>
      <c r="B80" s="90" t="s">
        <v>287</v>
      </c>
    </row>
    <row r="81" spans="1:2" x14ac:dyDescent="0.25">
      <c r="A81" s="154" t="s">
        <v>199</v>
      </c>
      <c r="B81" s="90" t="s">
        <v>490</v>
      </c>
    </row>
    <row r="82" spans="1:2" x14ac:dyDescent="0.25">
      <c r="A82" s="154" t="s">
        <v>200</v>
      </c>
      <c r="B82" s="90" t="s">
        <v>532</v>
      </c>
    </row>
    <row r="83" spans="1:2" x14ac:dyDescent="0.25">
      <c r="A83" s="154" t="s">
        <v>201</v>
      </c>
      <c r="B83" s="90" t="s">
        <v>486</v>
      </c>
    </row>
    <row r="84" spans="1:2" x14ac:dyDescent="0.25">
      <c r="A84" s="154" t="s">
        <v>202</v>
      </c>
      <c r="B84" s="90" t="s">
        <v>301</v>
      </c>
    </row>
    <row r="85" spans="1:2" ht="14.25" customHeight="1" x14ac:dyDescent="0.25">
      <c r="A85" s="90" t="s">
        <v>203</v>
      </c>
      <c r="B85" s="86" t="s">
        <v>290</v>
      </c>
    </row>
    <row r="86" spans="1:2" ht="28.5" x14ac:dyDescent="0.25">
      <c r="A86" s="143" t="s">
        <v>204</v>
      </c>
      <c r="B86" s="155"/>
    </row>
    <row r="87" spans="1:2" x14ac:dyDescent="0.25">
      <c r="A87" s="90" t="s">
        <v>181</v>
      </c>
      <c r="B87" s="156"/>
    </row>
    <row r="88" spans="1:2" x14ac:dyDescent="0.25">
      <c r="A88" s="90" t="s">
        <v>205</v>
      </c>
      <c r="B88" s="156"/>
    </row>
    <row r="89" spans="1:2" x14ac:dyDescent="0.25">
      <c r="A89" s="90" t="s">
        <v>206</v>
      </c>
      <c r="B89" s="156"/>
    </row>
    <row r="90" spans="1:2" x14ac:dyDescent="0.25">
      <c r="A90" s="157" t="s">
        <v>207</v>
      </c>
      <c r="B90" s="86"/>
    </row>
    <row r="91" spans="1:2" x14ac:dyDescent="0.25">
      <c r="A91" s="143" t="s">
        <v>208</v>
      </c>
      <c r="B91" s="145"/>
    </row>
    <row r="92" spans="1:2" x14ac:dyDescent="0.25">
      <c r="A92" s="90" t="s">
        <v>209</v>
      </c>
      <c r="B92" s="86"/>
    </row>
    <row r="93" spans="1:2" x14ac:dyDescent="0.25">
      <c r="A93" s="90" t="s">
        <v>210</v>
      </c>
      <c r="B93" s="86"/>
    </row>
    <row r="94" spans="1:2" x14ac:dyDescent="0.25">
      <c r="A94" s="90" t="s">
        <v>211</v>
      </c>
      <c r="B94" s="86"/>
    </row>
    <row r="95" spans="1:2" ht="28.5" x14ac:dyDescent="0.25">
      <c r="A95" s="158" t="s">
        <v>212</v>
      </c>
      <c r="B95" s="90" t="str">
        <f>$B$26</f>
        <v>Проектирование</v>
      </c>
    </row>
    <row r="96" spans="1:2" ht="28.5" x14ac:dyDescent="0.25">
      <c r="A96" s="143" t="s">
        <v>213</v>
      </c>
      <c r="B96" s="360"/>
    </row>
    <row r="97" spans="1:2" x14ac:dyDescent="0.25">
      <c r="A97" s="90" t="s">
        <v>214</v>
      </c>
      <c r="B97" s="360"/>
    </row>
    <row r="98" spans="1:2" x14ac:dyDescent="0.25">
      <c r="A98" s="90" t="s">
        <v>215</v>
      </c>
      <c r="B98" s="360"/>
    </row>
    <row r="99" spans="1:2" x14ac:dyDescent="0.25">
      <c r="A99" s="90" t="s">
        <v>216</v>
      </c>
      <c r="B99" s="360"/>
    </row>
    <row r="100" spans="1:2" x14ac:dyDescent="0.25">
      <c r="A100" s="90" t="s">
        <v>217</v>
      </c>
      <c r="B100" s="360"/>
    </row>
    <row r="101" spans="1:2" x14ac:dyDescent="0.25">
      <c r="A101" s="159" t="s">
        <v>218</v>
      </c>
      <c r="B101" s="360"/>
    </row>
  </sheetData>
  <mergeCells count="10">
    <mergeCell ref="B96:B10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H23" sqref="H23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78.28515625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231" t="str">
        <f>'1. паспорт местоположение'!$A$5</f>
        <v>Год раскрытия информации: 2025 год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4" s="2" customFormat="1" ht="15.75" x14ac:dyDescent="0.2">
      <c r="A5" s="30"/>
    </row>
    <row r="6" spans="1:24" s="2" customFormat="1" ht="18.75" x14ac:dyDescent="0.2">
      <c r="A6" s="235" t="s">
        <v>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</row>
    <row r="7" spans="1:24" s="2" customFormat="1" ht="18.75" x14ac:dyDescent="0.2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</row>
    <row r="8" spans="1:24" s="2" customFormat="1" ht="18.75" customHeight="1" x14ac:dyDescent="0.2">
      <c r="A8" s="236" t="s">
        <v>309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</row>
    <row r="9" spans="1:24" s="2" customFormat="1" ht="18.75" customHeight="1" x14ac:dyDescent="0.2">
      <c r="A9" s="237" t="s">
        <v>4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</row>
    <row r="10" spans="1:24" s="2" customFormat="1" ht="18.75" x14ac:dyDescent="0.2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</row>
    <row r="11" spans="1:24" s="2" customFormat="1" ht="18.75" customHeight="1" x14ac:dyDescent="0.2">
      <c r="A11" s="169"/>
      <c r="B11" s="169"/>
      <c r="C11" s="169"/>
      <c r="D11" s="169"/>
      <c r="E11" s="169"/>
      <c r="F11" s="169"/>
      <c r="G11" s="169"/>
      <c r="H11" s="236" t="str">
        <f>'1. паспорт местоположение'!$A$12</f>
        <v>M_Che442</v>
      </c>
      <c r="I11" s="236"/>
      <c r="J11" s="236"/>
      <c r="K11" s="169"/>
      <c r="L11" s="169"/>
      <c r="M11" s="169"/>
      <c r="N11" s="169"/>
      <c r="O11" s="169"/>
      <c r="P11" s="169"/>
      <c r="Q11" s="169"/>
      <c r="R11" s="169"/>
      <c r="S11" s="169"/>
    </row>
    <row r="12" spans="1:24" s="2" customFormat="1" ht="18.75" customHeight="1" x14ac:dyDescent="0.2">
      <c r="A12" s="237" t="s">
        <v>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</row>
    <row r="13" spans="1:24" s="44" customFormat="1" ht="15.75" customHeight="1" x14ac:dyDescent="0.2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</row>
    <row r="14" spans="1:24" s="45" customFormat="1" ht="15.75" x14ac:dyDescent="0.2">
      <c r="A14" s="236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</row>
    <row r="15" spans="1:24" s="45" customFormat="1" ht="15" customHeight="1" x14ac:dyDescent="0.2">
      <c r="A15" s="237" t="s">
        <v>2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</row>
    <row r="16" spans="1:24" s="45" customFormat="1" ht="15" customHeight="1" x14ac:dyDescent="0.2">
      <c r="A16" s="243"/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66"/>
      <c r="U16" s="66"/>
      <c r="V16" s="66"/>
      <c r="W16" s="66"/>
      <c r="X16" s="66"/>
    </row>
    <row r="17" spans="1:28" s="45" customFormat="1" ht="45.75" customHeight="1" x14ac:dyDescent="0.2">
      <c r="A17" s="244" t="s">
        <v>455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75"/>
      <c r="U17" s="75"/>
      <c r="V17" s="75"/>
      <c r="W17" s="75"/>
      <c r="X17" s="75"/>
      <c r="Y17" s="75"/>
      <c r="Z17" s="75"/>
      <c r="AA17" s="75"/>
    </row>
    <row r="18" spans="1:28" s="45" customFormat="1" ht="15" customHeight="1" x14ac:dyDescent="0.2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66"/>
      <c r="U18" s="66"/>
      <c r="V18" s="66"/>
      <c r="W18" s="66"/>
      <c r="X18" s="66"/>
    </row>
    <row r="19" spans="1:28" s="45" customFormat="1" ht="54" customHeight="1" x14ac:dyDescent="0.2">
      <c r="A19" s="242" t="s">
        <v>1</v>
      </c>
      <c r="B19" s="242" t="s">
        <v>310</v>
      </c>
      <c r="C19" s="246" t="s">
        <v>311</v>
      </c>
      <c r="D19" s="242" t="s">
        <v>312</v>
      </c>
      <c r="E19" s="242" t="s">
        <v>313</v>
      </c>
      <c r="F19" s="242" t="s">
        <v>314</v>
      </c>
      <c r="G19" s="242" t="s">
        <v>315</v>
      </c>
      <c r="H19" s="242" t="s">
        <v>316</v>
      </c>
      <c r="I19" s="242" t="s">
        <v>317</v>
      </c>
      <c r="J19" s="242" t="s">
        <v>318</v>
      </c>
      <c r="K19" s="242" t="s">
        <v>319</v>
      </c>
      <c r="L19" s="242" t="s">
        <v>320</v>
      </c>
      <c r="M19" s="242" t="s">
        <v>321</v>
      </c>
      <c r="N19" s="242" t="s">
        <v>322</v>
      </c>
      <c r="O19" s="242" t="s">
        <v>323</v>
      </c>
      <c r="P19" s="242" t="s">
        <v>324</v>
      </c>
      <c r="Q19" s="242" t="s">
        <v>325</v>
      </c>
      <c r="R19" s="242"/>
      <c r="S19" s="248" t="s">
        <v>326</v>
      </c>
      <c r="T19" s="66"/>
      <c r="U19" s="66"/>
      <c r="V19" s="66"/>
      <c r="W19" s="66"/>
      <c r="X19" s="66"/>
    </row>
    <row r="20" spans="1:28" s="45" customFormat="1" ht="180.75" customHeight="1" x14ac:dyDescent="0.2">
      <c r="A20" s="242"/>
      <c r="B20" s="242"/>
      <c r="C20" s="247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105" t="s">
        <v>327</v>
      </c>
      <c r="R20" s="46" t="s">
        <v>328</v>
      </c>
      <c r="S20" s="248"/>
      <c r="T20" s="68"/>
      <c r="U20" s="68"/>
      <c r="V20" s="68"/>
      <c r="W20" s="68"/>
      <c r="X20" s="68"/>
      <c r="Y20" s="81"/>
      <c r="Z20" s="81"/>
      <c r="AA20" s="81"/>
    </row>
    <row r="21" spans="1:28" s="45" customFormat="1" ht="18.75" x14ac:dyDescent="0.2">
      <c r="A21" s="105">
        <v>1</v>
      </c>
      <c r="B21" s="128">
        <v>2</v>
      </c>
      <c r="C21" s="105">
        <v>3</v>
      </c>
      <c r="D21" s="128">
        <v>4</v>
      </c>
      <c r="E21" s="105">
        <v>5</v>
      </c>
      <c r="F21" s="128">
        <v>6</v>
      </c>
      <c r="G21" s="105">
        <v>7</v>
      </c>
      <c r="H21" s="128">
        <v>8</v>
      </c>
      <c r="I21" s="105">
        <v>9</v>
      </c>
      <c r="J21" s="128">
        <v>10</v>
      </c>
      <c r="K21" s="105">
        <v>11</v>
      </c>
      <c r="L21" s="128">
        <v>12</v>
      </c>
      <c r="M21" s="105">
        <v>13</v>
      </c>
      <c r="N21" s="128">
        <v>14</v>
      </c>
      <c r="O21" s="105">
        <v>15</v>
      </c>
      <c r="P21" s="128">
        <v>16</v>
      </c>
      <c r="Q21" s="105">
        <v>17</v>
      </c>
      <c r="R21" s="128">
        <v>18</v>
      </c>
      <c r="S21" s="105">
        <v>19</v>
      </c>
      <c r="T21" s="68"/>
      <c r="U21" s="68"/>
      <c r="V21" s="68"/>
      <c r="W21" s="68"/>
      <c r="X21" s="68"/>
      <c r="Y21" s="81"/>
      <c r="Z21" s="81"/>
      <c r="AA21" s="81"/>
    </row>
    <row r="22" spans="1:28" s="45" customFormat="1" ht="78.75" x14ac:dyDescent="0.2">
      <c r="A22" s="79">
        <v>1</v>
      </c>
      <c r="B22" s="78" t="s">
        <v>468</v>
      </c>
      <c r="C22" s="78" t="s">
        <v>448</v>
      </c>
      <c r="D22" s="78" t="s">
        <v>469</v>
      </c>
      <c r="E22" s="78" t="s">
        <v>466</v>
      </c>
      <c r="F22" s="78" t="s">
        <v>470</v>
      </c>
      <c r="G22" s="78" t="s">
        <v>467</v>
      </c>
      <c r="H22" s="78">
        <v>7</v>
      </c>
      <c r="I22" s="78">
        <v>0</v>
      </c>
      <c r="J22" s="78">
        <v>0</v>
      </c>
      <c r="K22" s="78">
        <v>10</v>
      </c>
      <c r="L22" s="78">
        <v>3</v>
      </c>
      <c r="M22" s="78" t="s">
        <v>301</v>
      </c>
      <c r="N22" s="78" t="s">
        <v>301</v>
      </c>
      <c r="O22" s="78" t="s">
        <v>301</v>
      </c>
      <c r="P22" s="78" t="s">
        <v>301</v>
      </c>
      <c r="Q22" s="82" t="s">
        <v>465</v>
      </c>
      <c r="R22" s="78" t="s">
        <v>301</v>
      </c>
      <c r="S22" s="239">
        <v>2068.8152519999999</v>
      </c>
      <c r="T22" s="171"/>
      <c r="U22" s="171"/>
      <c r="V22" s="171"/>
      <c r="W22" s="171"/>
      <c r="X22" s="171"/>
      <c r="Y22" s="171"/>
      <c r="Z22" s="81"/>
      <c r="AA22" s="81"/>
      <c r="AB22" s="81"/>
    </row>
    <row r="23" spans="1:28" s="132" customFormat="1" ht="78.75" x14ac:dyDescent="0.2">
      <c r="A23" s="172">
        <v>2</v>
      </c>
      <c r="B23" s="78" t="s">
        <v>468</v>
      </c>
      <c r="C23" s="172" t="s">
        <v>448</v>
      </c>
      <c r="D23" s="172" t="s">
        <v>469</v>
      </c>
      <c r="E23" s="172" t="s">
        <v>466</v>
      </c>
      <c r="F23" s="172" t="s">
        <v>470</v>
      </c>
      <c r="G23" s="78" t="s">
        <v>467</v>
      </c>
      <c r="H23" s="172">
        <v>3</v>
      </c>
      <c r="I23" s="172">
        <v>0</v>
      </c>
      <c r="J23" s="172">
        <v>0</v>
      </c>
      <c r="K23" s="172">
        <v>10</v>
      </c>
      <c r="L23" s="172">
        <v>2</v>
      </c>
      <c r="M23" s="78" t="s">
        <v>301</v>
      </c>
      <c r="N23" s="78" t="s">
        <v>301</v>
      </c>
      <c r="O23" s="78" t="s">
        <v>301</v>
      </c>
      <c r="P23" s="78" t="s">
        <v>301</v>
      </c>
      <c r="Q23" s="173" t="s">
        <v>465</v>
      </c>
      <c r="R23" s="78" t="s">
        <v>301</v>
      </c>
      <c r="S23" s="240"/>
      <c r="T23" s="130"/>
      <c r="U23" s="130"/>
      <c r="V23" s="130"/>
      <c r="W23" s="131"/>
      <c r="X23" s="131"/>
      <c r="Y23" s="131"/>
      <c r="Z23" s="131"/>
      <c r="AA23" s="131"/>
    </row>
    <row r="24" spans="1:28" ht="20.25" customHeight="1" x14ac:dyDescent="0.25">
      <c r="A24" s="133"/>
      <c r="B24" s="129" t="s">
        <v>447</v>
      </c>
      <c r="C24" s="129"/>
      <c r="D24" s="129"/>
      <c r="E24" s="133" t="s">
        <v>448</v>
      </c>
      <c r="F24" s="133" t="s">
        <v>448</v>
      </c>
      <c r="G24" s="133" t="s">
        <v>448</v>
      </c>
      <c r="H24" s="133">
        <f>SUM(H22:H23)</f>
        <v>10</v>
      </c>
      <c r="I24" s="133"/>
      <c r="J24" s="133"/>
      <c r="K24" s="133"/>
      <c r="L24" s="133"/>
      <c r="M24" s="133"/>
      <c r="N24" s="133"/>
      <c r="O24" s="133"/>
      <c r="P24" s="133"/>
      <c r="Q24" s="134"/>
      <c r="R24" s="135"/>
      <c r="S24" s="135"/>
      <c r="T24" s="57"/>
      <c r="U24" s="57"/>
      <c r="V24" s="57"/>
      <c r="W24" s="57"/>
      <c r="X24" s="57"/>
      <c r="Y24" s="57"/>
      <c r="Z24" s="57"/>
      <c r="AA24" s="57"/>
    </row>
    <row r="25" spans="1:28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8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8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8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8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8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8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8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3">
    <mergeCell ref="A17:S17"/>
    <mergeCell ref="K19:K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4:S4"/>
    <mergeCell ref="A6:S6"/>
    <mergeCell ref="A7:S7"/>
    <mergeCell ref="A8:S8"/>
    <mergeCell ref="A9:S9"/>
    <mergeCell ref="S22:S23"/>
    <mergeCell ref="A15:S15"/>
    <mergeCell ref="A10:S10"/>
    <mergeCell ref="A12:S12"/>
    <mergeCell ref="A13:S13"/>
    <mergeCell ref="A14:S14"/>
    <mergeCell ref="H11:J11"/>
    <mergeCell ref="L19:L20"/>
    <mergeCell ref="E19:E20"/>
    <mergeCell ref="F19:F20"/>
    <mergeCell ref="I19:I20"/>
    <mergeCell ref="J19:J20"/>
    <mergeCell ref="A16:S16"/>
    <mergeCell ref="G19:G20"/>
    <mergeCell ref="O19:O20"/>
    <mergeCell ref="P19:P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A25" sqref="A25:XFD25"/>
    </sheetView>
  </sheetViews>
  <sheetFormatPr defaultColWidth="10.7109375" defaultRowHeight="15.75" x14ac:dyDescent="0.25"/>
  <cols>
    <col min="1" max="1" width="9.5703125" style="48" customWidth="1"/>
    <col min="2" max="2" width="8.7109375" style="48" customWidth="1"/>
    <col min="3" max="3" width="26" style="48" customWidth="1"/>
    <col min="4" max="4" width="23.42578125" style="48" customWidth="1"/>
    <col min="5" max="5" width="11.140625" style="48" customWidth="1"/>
    <col min="6" max="6" width="15.140625" style="48" customWidth="1"/>
    <col min="7" max="7" width="8.7109375" style="48" customWidth="1"/>
    <col min="8" max="8" width="11.28515625" style="48" customWidth="1"/>
    <col min="9" max="9" width="7.28515625" style="48" customWidth="1"/>
    <col min="10" max="10" width="9.28515625" style="48" customWidth="1"/>
    <col min="11" max="11" width="10.28515625" style="48" customWidth="1"/>
    <col min="12" max="15" width="8.7109375" style="48" customWidth="1"/>
    <col min="16" max="16" width="19.42578125" style="48" customWidth="1"/>
    <col min="17" max="17" width="21.7109375" style="48" customWidth="1"/>
    <col min="18" max="18" width="22" style="48" customWidth="1"/>
    <col min="19" max="19" width="19.7109375" style="48" customWidth="1"/>
    <col min="20" max="20" width="18.42578125" style="48" customWidth="1"/>
    <col min="21" max="237" width="10.7109375" style="48"/>
    <col min="238" max="242" width="15.7109375" style="48" customWidth="1"/>
    <col min="243" max="246" width="12.7109375" style="48" customWidth="1"/>
    <col min="247" max="250" width="15.7109375" style="48" customWidth="1"/>
    <col min="251" max="251" width="22.85546875" style="48" customWidth="1"/>
    <col min="252" max="252" width="20.7109375" style="48" customWidth="1"/>
    <col min="253" max="253" width="16.7109375" style="48" customWidth="1"/>
    <col min="254" max="16384" width="10.7109375" style="48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31" t="str">
        <f>'1. паспорт местоположение'!$A$5</f>
        <v>Год раскрытия информации: 2025 год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0" s="2" customFormat="1" x14ac:dyDescent="0.2">
      <c r="A7" s="30"/>
    </row>
    <row r="8" spans="1:20" s="2" customFormat="1" ht="18.75" x14ac:dyDescent="0.2">
      <c r="A8" s="235" t="s">
        <v>5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</row>
    <row r="9" spans="1:20" s="2" customFormat="1" ht="18.75" x14ac:dyDescent="0.2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</row>
    <row r="10" spans="1:20" s="2" customFormat="1" ht="18.75" customHeight="1" x14ac:dyDescent="0.2">
      <c r="A10" s="236" t="s">
        <v>309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</row>
    <row r="11" spans="1:20" s="2" customFormat="1" ht="18.75" customHeight="1" x14ac:dyDescent="0.2">
      <c r="A11" s="237" t="s">
        <v>4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</row>
    <row r="12" spans="1:20" s="2" customFormat="1" ht="18.75" x14ac:dyDescent="0.2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</row>
    <row r="13" spans="1:20" s="2" customFormat="1" ht="18.75" customHeight="1" x14ac:dyDescent="0.2">
      <c r="A13" s="236" t="str">
        <f>'1. паспорт местоположение'!A12:C12</f>
        <v>M_Che442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</row>
    <row r="14" spans="1:20" s="2" customFormat="1" ht="18.75" customHeight="1" x14ac:dyDescent="0.2">
      <c r="A14" s="237" t="s">
        <v>3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</row>
    <row r="15" spans="1:20" s="44" customFormat="1" ht="15.75" customHeight="1" x14ac:dyDescent="0.2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</row>
    <row r="16" spans="1:20" s="45" customFormat="1" ht="52.5" customHeight="1" x14ac:dyDescent="0.2">
      <c r="A16" s="238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113" s="45" customFormat="1" ht="15" customHeight="1" x14ac:dyDescent="0.2">
      <c r="A17" s="237" t="s">
        <v>2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</row>
    <row r="18" spans="1:113" s="45" customFormat="1" ht="15" customHeight="1" x14ac:dyDescent="0.2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</row>
    <row r="19" spans="1:113" s="45" customFormat="1" ht="15" customHeight="1" x14ac:dyDescent="0.2">
      <c r="A19" s="249" t="s">
        <v>329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</row>
    <row r="20" spans="1:113" s="47" customFormat="1" ht="21" customHeigh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</row>
    <row r="21" spans="1:113" ht="46.5" customHeight="1" x14ac:dyDescent="0.25">
      <c r="A21" s="262" t="s">
        <v>1</v>
      </c>
      <c r="B21" s="251" t="s">
        <v>330</v>
      </c>
      <c r="C21" s="252"/>
      <c r="D21" s="255" t="s">
        <v>331</v>
      </c>
      <c r="E21" s="251" t="s">
        <v>332</v>
      </c>
      <c r="F21" s="252"/>
      <c r="G21" s="251" t="s">
        <v>333</v>
      </c>
      <c r="H21" s="252"/>
      <c r="I21" s="251" t="s">
        <v>334</v>
      </c>
      <c r="J21" s="252"/>
      <c r="K21" s="255" t="s">
        <v>335</v>
      </c>
      <c r="L21" s="251" t="s">
        <v>336</v>
      </c>
      <c r="M21" s="252"/>
      <c r="N21" s="251" t="s">
        <v>358</v>
      </c>
      <c r="O21" s="252"/>
      <c r="P21" s="255" t="s">
        <v>337</v>
      </c>
      <c r="Q21" s="258" t="s">
        <v>338</v>
      </c>
      <c r="R21" s="259"/>
      <c r="S21" s="258" t="s">
        <v>339</v>
      </c>
      <c r="T21" s="260"/>
    </row>
    <row r="22" spans="1:113" ht="204.75" customHeight="1" x14ac:dyDescent="0.25">
      <c r="A22" s="263"/>
      <c r="B22" s="253"/>
      <c r="C22" s="254"/>
      <c r="D22" s="257"/>
      <c r="E22" s="253"/>
      <c r="F22" s="254"/>
      <c r="G22" s="253"/>
      <c r="H22" s="254"/>
      <c r="I22" s="253"/>
      <c r="J22" s="254"/>
      <c r="K22" s="256"/>
      <c r="L22" s="253"/>
      <c r="M22" s="254"/>
      <c r="N22" s="253"/>
      <c r="O22" s="254"/>
      <c r="P22" s="256"/>
      <c r="Q22" s="49" t="s">
        <v>340</v>
      </c>
      <c r="R22" s="49" t="s">
        <v>341</v>
      </c>
      <c r="S22" s="49" t="s">
        <v>342</v>
      </c>
      <c r="T22" s="49" t="s">
        <v>343</v>
      </c>
    </row>
    <row r="23" spans="1:113" ht="51.75" customHeight="1" x14ac:dyDescent="0.25">
      <c r="A23" s="264"/>
      <c r="B23" s="49" t="s">
        <v>344</v>
      </c>
      <c r="C23" s="49" t="s">
        <v>345</v>
      </c>
      <c r="D23" s="256"/>
      <c r="E23" s="49" t="s">
        <v>344</v>
      </c>
      <c r="F23" s="49" t="s">
        <v>345</v>
      </c>
      <c r="G23" s="49" t="s">
        <v>344</v>
      </c>
      <c r="H23" s="49" t="s">
        <v>345</v>
      </c>
      <c r="I23" s="49" t="s">
        <v>344</v>
      </c>
      <c r="J23" s="49" t="s">
        <v>345</v>
      </c>
      <c r="K23" s="49" t="s">
        <v>344</v>
      </c>
      <c r="L23" s="49" t="s">
        <v>344</v>
      </c>
      <c r="M23" s="49" t="s">
        <v>345</v>
      </c>
      <c r="N23" s="49" t="s">
        <v>344</v>
      </c>
      <c r="O23" s="49" t="s">
        <v>345</v>
      </c>
      <c r="P23" s="69" t="s">
        <v>344</v>
      </c>
      <c r="Q23" s="49" t="s">
        <v>344</v>
      </c>
      <c r="R23" s="49" t="s">
        <v>344</v>
      </c>
      <c r="S23" s="49" t="s">
        <v>344</v>
      </c>
      <c r="T23" s="49" t="s">
        <v>344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176" customFormat="1" ht="108.75" customHeight="1" x14ac:dyDescent="0.25">
      <c r="A25" s="174">
        <v>1</v>
      </c>
      <c r="B25" s="175" t="s">
        <v>301</v>
      </c>
      <c r="C25" s="175" t="s">
        <v>472</v>
      </c>
      <c r="D25" s="175" t="s">
        <v>473</v>
      </c>
      <c r="E25" s="175" t="s">
        <v>301</v>
      </c>
      <c r="F25" s="175" t="s">
        <v>474</v>
      </c>
      <c r="G25" s="175" t="s">
        <v>301</v>
      </c>
      <c r="H25" s="175" t="s">
        <v>472</v>
      </c>
      <c r="I25" s="175" t="s">
        <v>301</v>
      </c>
      <c r="J25" s="175">
        <v>2022</v>
      </c>
      <c r="K25" s="175" t="s">
        <v>301</v>
      </c>
      <c r="L25" s="175" t="s">
        <v>301</v>
      </c>
      <c r="M25" s="175">
        <v>110</v>
      </c>
      <c r="N25" s="175" t="s">
        <v>301</v>
      </c>
      <c r="O25" s="175" t="s">
        <v>301</v>
      </c>
      <c r="P25" s="175" t="s">
        <v>301</v>
      </c>
      <c r="Q25" s="175" t="s">
        <v>301</v>
      </c>
      <c r="R25" s="175" t="s">
        <v>301</v>
      </c>
      <c r="S25" s="175" t="s">
        <v>301</v>
      </c>
      <c r="T25" s="175" t="s">
        <v>301</v>
      </c>
    </row>
    <row r="26" spans="1:113" ht="3" customHeight="1" x14ac:dyDescent="0.25"/>
    <row r="27" spans="1:113" s="121" customFormat="1" ht="12.75" x14ac:dyDescent="0.2">
      <c r="B27" s="120"/>
      <c r="C27" s="120"/>
      <c r="K27" s="120"/>
    </row>
    <row r="28" spans="1:113" s="121" customFormat="1" x14ac:dyDescent="0.25">
      <c r="B28" s="123" t="s">
        <v>346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113" x14ac:dyDescent="0.25">
      <c r="B29" s="250" t="s">
        <v>347</v>
      </c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</row>
    <row r="30" spans="1:113" x14ac:dyDescent="0.2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</row>
    <row r="31" spans="1:113" x14ac:dyDescent="0.25">
      <c r="B31" s="124" t="s">
        <v>348</v>
      </c>
      <c r="C31" s="124"/>
      <c r="D31" s="124"/>
      <c r="E31" s="124"/>
      <c r="F31" s="125"/>
      <c r="G31" s="125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6"/>
      <c r="T31" s="126"/>
      <c r="U31" s="126"/>
      <c r="V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6"/>
      <c r="DA31" s="126"/>
      <c r="DB31" s="126"/>
      <c r="DC31" s="126"/>
      <c r="DD31" s="126"/>
      <c r="DE31" s="126"/>
      <c r="DF31" s="126"/>
      <c r="DG31" s="126"/>
      <c r="DH31" s="126"/>
      <c r="DI31" s="126"/>
    </row>
    <row r="32" spans="1:113" x14ac:dyDescent="0.25">
      <c r="B32" s="124" t="s">
        <v>349</v>
      </c>
      <c r="C32" s="124"/>
      <c r="D32" s="124"/>
      <c r="E32" s="124"/>
      <c r="F32" s="125"/>
      <c r="G32" s="125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</row>
    <row r="33" spans="2:113" s="125" customFormat="1" x14ac:dyDescent="0.25">
      <c r="B33" s="124" t="s">
        <v>350</v>
      </c>
      <c r="C33" s="124"/>
      <c r="D33" s="124"/>
      <c r="E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</row>
    <row r="34" spans="2:113" s="125" customFormat="1" x14ac:dyDescent="0.25">
      <c r="B34" s="124" t="s">
        <v>351</v>
      </c>
      <c r="C34" s="124"/>
      <c r="D34" s="124"/>
      <c r="E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</row>
    <row r="35" spans="2:113" s="125" customFormat="1" x14ac:dyDescent="0.25">
      <c r="B35" s="124" t="s">
        <v>352</v>
      </c>
      <c r="C35" s="124"/>
      <c r="D35" s="124"/>
      <c r="E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</row>
    <row r="36" spans="2:113" s="125" customFormat="1" x14ac:dyDescent="0.25">
      <c r="B36" s="124" t="s">
        <v>353</v>
      </c>
      <c r="C36" s="124"/>
      <c r="D36" s="124"/>
      <c r="E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</row>
    <row r="37" spans="2:113" s="125" customFormat="1" x14ac:dyDescent="0.25">
      <c r="B37" s="124" t="s">
        <v>354</v>
      </c>
      <c r="C37" s="124"/>
      <c r="D37" s="124"/>
      <c r="E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7"/>
      <c r="BL37" s="127"/>
      <c r="BM37" s="127"/>
      <c r="BN37" s="127"/>
      <c r="BO37" s="127"/>
      <c r="BP37" s="127"/>
      <c r="BQ37" s="127"/>
      <c r="BR37" s="127"/>
      <c r="BS37" s="127"/>
      <c r="BT37" s="127"/>
      <c r="BU37" s="127"/>
      <c r="BV37" s="127"/>
      <c r="BW37" s="127"/>
      <c r="BX37" s="127"/>
      <c r="BY37" s="127"/>
      <c r="BZ37" s="127"/>
      <c r="CA37" s="127"/>
      <c r="CB37" s="127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</row>
    <row r="38" spans="2:113" s="125" customFormat="1" x14ac:dyDescent="0.25">
      <c r="B38" s="124" t="s">
        <v>355</v>
      </c>
      <c r="C38" s="124"/>
      <c r="D38" s="124"/>
      <c r="E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7"/>
      <c r="BL38" s="127"/>
      <c r="BM38" s="127"/>
      <c r="BN38" s="127"/>
      <c r="BO38" s="127"/>
      <c r="BP38" s="127"/>
      <c r="BQ38" s="127"/>
      <c r="BR38" s="127"/>
      <c r="BS38" s="127"/>
      <c r="BT38" s="127"/>
      <c r="BU38" s="127"/>
      <c r="BV38" s="127"/>
      <c r="BW38" s="127"/>
      <c r="BX38" s="127"/>
      <c r="BY38" s="127"/>
      <c r="BZ38" s="127"/>
      <c r="CA38" s="127"/>
      <c r="CB38" s="127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</row>
    <row r="39" spans="2:113" s="125" customFormat="1" x14ac:dyDescent="0.25">
      <c r="B39" s="124" t="s">
        <v>356</v>
      </c>
      <c r="C39" s="124"/>
      <c r="D39" s="124"/>
      <c r="E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</row>
    <row r="40" spans="2:113" s="125" customFormat="1" x14ac:dyDescent="0.25">
      <c r="B40" s="124" t="s">
        <v>357</v>
      </c>
      <c r="C40" s="124"/>
      <c r="D40" s="124"/>
      <c r="E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</row>
    <row r="41" spans="2:113" s="125" customFormat="1" x14ac:dyDescent="0.25">
      <c r="Q41" s="124"/>
      <c r="R41" s="124"/>
      <c r="S41" s="124"/>
      <c r="T41" s="124"/>
      <c r="U41" s="124"/>
      <c r="V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7"/>
      <c r="BL41" s="127"/>
      <c r="BM41" s="127"/>
      <c r="BN41" s="127"/>
      <c r="BO41" s="127"/>
      <c r="BP41" s="127"/>
      <c r="BQ41" s="127"/>
      <c r="BR41" s="127"/>
      <c r="BS41" s="127"/>
      <c r="BT41" s="127"/>
      <c r="BU41" s="127"/>
      <c r="BV41" s="127"/>
      <c r="BW41" s="127"/>
      <c r="BX41" s="127"/>
      <c r="BY41" s="127"/>
      <c r="BZ41" s="127"/>
      <c r="CA41" s="127"/>
      <c r="CB41" s="127"/>
      <c r="CC41" s="127"/>
      <c r="CD41" s="127"/>
      <c r="CE41" s="127"/>
      <c r="CF41" s="127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</row>
    <row r="42" spans="2:113" s="125" customFormat="1" x14ac:dyDescent="0.25"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K25" sqref="K25"/>
    </sheetView>
  </sheetViews>
  <sheetFormatPr defaultColWidth="17.7109375" defaultRowHeight="15.75" x14ac:dyDescent="0.25"/>
  <cols>
    <col min="1" max="2" width="10.7109375" style="48" customWidth="1"/>
    <col min="3" max="3" width="19.7109375" style="48" customWidth="1"/>
    <col min="4" max="4" width="11.5703125" style="48" customWidth="1"/>
    <col min="5" max="5" width="19.7109375" style="48" customWidth="1"/>
    <col min="6" max="6" width="8.7109375" style="48" customWidth="1"/>
    <col min="7" max="7" width="10.28515625" style="48" customWidth="1"/>
    <col min="8" max="8" width="8.7109375" style="48" customWidth="1"/>
    <col min="9" max="9" width="8.28515625" style="48" customWidth="1"/>
    <col min="10" max="10" width="20.140625" style="48" customWidth="1"/>
    <col min="11" max="11" width="11.140625" style="48" customWidth="1"/>
    <col min="12" max="12" width="8.85546875" style="48" customWidth="1"/>
    <col min="13" max="13" width="8.7109375" style="48" customWidth="1"/>
    <col min="14" max="14" width="13.7109375" style="48" customWidth="1"/>
    <col min="15" max="16" width="8.7109375" style="48" customWidth="1"/>
    <col min="17" max="17" width="11.85546875" style="48" customWidth="1"/>
    <col min="18" max="18" width="12" style="48" customWidth="1"/>
    <col min="19" max="19" width="18.28515625" style="48" customWidth="1"/>
    <col min="20" max="20" width="22.42578125" style="48" customWidth="1"/>
    <col min="21" max="21" width="30.7109375" style="48" customWidth="1"/>
    <col min="22" max="22" width="8.7109375" style="48" customWidth="1"/>
    <col min="23" max="23" width="17.28515625" style="48" customWidth="1"/>
    <col min="24" max="24" width="24.5703125" style="48" customWidth="1"/>
    <col min="25" max="25" width="15.28515625" style="48" customWidth="1"/>
    <col min="26" max="26" width="18.5703125" style="48" customWidth="1"/>
    <col min="27" max="27" width="19.140625" style="48" customWidth="1"/>
    <col min="28" max="240" width="10.7109375" style="48" customWidth="1"/>
    <col min="241" max="242" width="15.7109375" style="48" customWidth="1"/>
    <col min="243" max="245" width="14.7109375" style="48" customWidth="1"/>
    <col min="246" max="249" width="13.7109375" style="48" customWidth="1"/>
    <col min="250" max="253" width="15.7109375" style="48" customWidth="1"/>
    <col min="254" max="254" width="22.85546875" style="48" customWidth="1"/>
    <col min="255" max="255" width="20.7109375" style="48" customWidth="1"/>
    <col min="256" max="16384" width="17.7109375" style="48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231" t="str">
        <f>'1. паспорт местоположение'!$A$5</f>
        <v>Год раскрытия информации: 2025 год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</row>
    <row r="6" spans="1:27" s="2" customFormat="1" x14ac:dyDescent="0.2">
      <c r="A6" s="30"/>
    </row>
    <row r="7" spans="1:27" s="2" customFormat="1" ht="18.75" x14ac:dyDescent="0.2">
      <c r="A7" s="235" t="s">
        <v>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</row>
    <row r="8" spans="1:27" s="2" customFormat="1" ht="18.75" x14ac:dyDescent="0.2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</row>
    <row r="9" spans="1:27" s="2" customFormat="1" ht="18.75" customHeight="1" x14ac:dyDescent="0.2">
      <c r="A9" s="236" t="s">
        <v>309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</row>
    <row r="10" spans="1:27" s="2" customFormat="1" ht="18.75" customHeight="1" x14ac:dyDescent="0.2">
      <c r="A10" s="237" t="s">
        <v>4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</row>
    <row r="11" spans="1:27" s="2" customFormat="1" ht="18.75" x14ac:dyDescent="0.2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</row>
    <row r="12" spans="1:27" s="2" customFormat="1" ht="18.75" customHeight="1" x14ac:dyDescent="0.2">
      <c r="A12" s="236" t="str">
        <f>'1. паспорт местоположение'!A12:C12</f>
        <v>M_Che442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</row>
    <row r="13" spans="1:27" s="2" customFormat="1" ht="18.75" customHeight="1" x14ac:dyDescent="0.2">
      <c r="A13" s="237" t="s">
        <v>3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</row>
    <row r="14" spans="1:27" s="44" customFormat="1" ht="15.75" customHeight="1" x14ac:dyDescent="0.2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</row>
    <row r="15" spans="1:27" s="45" customFormat="1" x14ac:dyDescent="0.2">
      <c r="A15" s="238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</row>
    <row r="16" spans="1:27" s="45" customFormat="1" ht="15" customHeight="1" x14ac:dyDescent="0.2">
      <c r="A16" s="237" t="s">
        <v>2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</row>
    <row r="17" spans="1:27" s="45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5" customFormat="1" ht="15" customHeight="1" x14ac:dyDescent="0.2"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</row>
    <row r="19" spans="1:27" ht="25.5" customHeight="1" x14ac:dyDescent="0.25">
      <c r="A19" s="249" t="s">
        <v>359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</row>
    <row r="20" spans="1:27" s="47" customFormat="1" ht="21" customHeight="1" x14ac:dyDescent="0.25"/>
    <row r="21" spans="1:27" ht="15.75" customHeight="1" x14ac:dyDescent="0.25">
      <c r="A21" s="255" t="s">
        <v>1</v>
      </c>
      <c r="B21" s="251" t="s">
        <v>360</v>
      </c>
      <c r="C21" s="252"/>
      <c r="D21" s="251" t="s">
        <v>361</v>
      </c>
      <c r="E21" s="252"/>
      <c r="F21" s="258" t="s">
        <v>319</v>
      </c>
      <c r="G21" s="260"/>
      <c r="H21" s="260"/>
      <c r="I21" s="259"/>
      <c r="J21" s="255" t="s">
        <v>362</v>
      </c>
      <c r="K21" s="251" t="s">
        <v>363</v>
      </c>
      <c r="L21" s="252"/>
      <c r="M21" s="251" t="s">
        <v>364</v>
      </c>
      <c r="N21" s="252"/>
      <c r="O21" s="251" t="s">
        <v>365</v>
      </c>
      <c r="P21" s="252"/>
      <c r="Q21" s="251" t="s">
        <v>366</v>
      </c>
      <c r="R21" s="252"/>
      <c r="S21" s="255" t="s">
        <v>367</v>
      </c>
      <c r="T21" s="255" t="s">
        <v>368</v>
      </c>
      <c r="U21" s="255" t="s">
        <v>369</v>
      </c>
      <c r="V21" s="251" t="s">
        <v>370</v>
      </c>
      <c r="W21" s="252"/>
      <c r="X21" s="258" t="s">
        <v>338</v>
      </c>
      <c r="Y21" s="260"/>
      <c r="Z21" s="258" t="s">
        <v>339</v>
      </c>
      <c r="AA21" s="260"/>
    </row>
    <row r="22" spans="1:27" ht="216" customHeight="1" x14ac:dyDescent="0.25">
      <c r="A22" s="257"/>
      <c r="B22" s="253"/>
      <c r="C22" s="254"/>
      <c r="D22" s="253"/>
      <c r="E22" s="254"/>
      <c r="F22" s="258" t="s">
        <v>371</v>
      </c>
      <c r="G22" s="259"/>
      <c r="H22" s="258" t="s">
        <v>372</v>
      </c>
      <c r="I22" s="259"/>
      <c r="J22" s="256"/>
      <c r="K22" s="253"/>
      <c r="L22" s="254"/>
      <c r="M22" s="253"/>
      <c r="N22" s="254"/>
      <c r="O22" s="253"/>
      <c r="P22" s="254"/>
      <c r="Q22" s="253"/>
      <c r="R22" s="254"/>
      <c r="S22" s="256"/>
      <c r="T22" s="256"/>
      <c r="U22" s="256"/>
      <c r="V22" s="253"/>
      <c r="W22" s="254"/>
      <c r="X22" s="49" t="s">
        <v>340</v>
      </c>
      <c r="Y22" s="49" t="s">
        <v>341</v>
      </c>
      <c r="Z22" s="49" t="s">
        <v>342</v>
      </c>
      <c r="AA22" s="49" t="s">
        <v>343</v>
      </c>
    </row>
    <row r="23" spans="1:27" ht="60" customHeight="1" x14ac:dyDescent="0.25">
      <c r="A23" s="256"/>
      <c r="B23" s="69" t="s">
        <v>344</v>
      </c>
      <c r="C23" s="161" t="s">
        <v>345</v>
      </c>
      <c r="D23" s="69" t="s">
        <v>344</v>
      </c>
      <c r="E23" s="69" t="s">
        <v>345</v>
      </c>
      <c r="F23" s="69" t="s">
        <v>344</v>
      </c>
      <c r="G23" s="69" t="s">
        <v>345</v>
      </c>
      <c r="H23" s="69" t="s">
        <v>344</v>
      </c>
      <c r="I23" s="69" t="s">
        <v>345</v>
      </c>
      <c r="J23" s="69" t="s">
        <v>344</v>
      </c>
      <c r="K23" s="69" t="s">
        <v>344</v>
      </c>
      <c r="L23" s="69" t="s">
        <v>345</v>
      </c>
      <c r="M23" s="69" t="s">
        <v>344</v>
      </c>
      <c r="N23" s="69" t="s">
        <v>345</v>
      </c>
      <c r="O23" s="69" t="s">
        <v>344</v>
      </c>
      <c r="P23" s="69" t="s">
        <v>345</v>
      </c>
      <c r="Q23" s="69" t="s">
        <v>344</v>
      </c>
      <c r="R23" s="69" t="s">
        <v>345</v>
      </c>
      <c r="S23" s="69" t="s">
        <v>344</v>
      </c>
      <c r="T23" s="69" t="s">
        <v>344</v>
      </c>
      <c r="U23" s="69" t="s">
        <v>344</v>
      </c>
      <c r="V23" s="69" t="s">
        <v>344</v>
      </c>
      <c r="W23" s="69" t="s">
        <v>345</v>
      </c>
      <c r="X23" s="69" t="s">
        <v>344</v>
      </c>
      <c r="Y23" s="69" t="s">
        <v>344</v>
      </c>
      <c r="Z23" s="49" t="s">
        <v>344</v>
      </c>
      <c r="AA23" s="49" t="s">
        <v>344</v>
      </c>
    </row>
    <row r="24" spans="1:27" x14ac:dyDescent="0.25">
      <c r="A24" s="119">
        <v>1</v>
      </c>
      <c r="B24" s="119">
        <v>2</v>
      </c>
      <c r="C24" s="119">
        <v>3</v>
      </c>
      <c r="D24" s="119">
        <v>4</v>
      </c>
      <c r="E24" s="119">
        <v>5</v>
      </c>
      <c r="F24" s="119">
        <v>6</v>
      </c>
      <c r="G24" s="119">
        <v>7</v>
      </c>
      <c r="H24" s="119">
        <v>8</v>
      </c>
      <c r="I24" s="119">
        <v>9</v>
      </c>
      <c r="J24" s="119">
        <v>10</v>
      </c>
      <c r="K24" s="119">
        <v>11</v>
      </c>
      <c r="L24" s="119">
        <v>12</v>
      </c>
      <c r="M24" s="119">
        <v>13</v>
      </c>
      <c r="N24" s="119">
        <v>14</v>
      </c>
      <c r="O24" s="119">
        <v>15</v>
      </c>
      <c r="P24" s="119">
        <v>16</v>
      </c>
      <c r="Q24" s="119">
        <v>19</v>
      </c>
      <c r="R24" s="119">
        <v>20</v>
      </c>
      <c r="S24" s="119">
        <v>21</v>
      </c>
      <c r="T24" s="119">
        <v>22</v>
      </c>
      <c r="U24" s="119">
        <v>23</v>
      </c>
      <c r="V24" s="119">
        <v>24</v>
      </c>
      <c r="W24" s="119">
        <v>25</v>
      </c>
      <c r="X24" s="119">
        <v>26</v>
      </c>
      <c r="Y24" s="119">
        <v>27</v>
      </c>
      <c r="Z24" s="119">
        <v>28</v>
      </c>
      <c r="AA24" s="119">
        <v>29</v>
      </c>
    </row>
    <row r="25" spans="1:27" s="177" customFormat="1" ht="63" customHeight="1" x14ac:dyDescent="0.25">
      <c r="A25" s="175">
        <v>1</v>
      </c>
      <c r="B25" s="175" t="s">
        <v>301</v>
      </c>
      <c r="C25" s="175" t="s">
        <v>475</v>
      </c>
      <c r="D25" s="175" t="s">
        <v>301</v>
      </c>
      <c r="E25" s="175" t="s">
        <v>475</v>
      </c>
      <c r="F25" s="175" t="s">
        <v>301</v>
      </c>
      <c r="G25" s="175">
        <v>110</v>
      </c>
      <c r="H25" s="175" t="s">
        <v>301</v>
      </c>
      <c r="I25" s="175">
        <v>110</v>
      </c>
      <c r="J25" s="175" t="s">
        <v>301</v>
      </c>
      <c r="K25" s="175" t="s">
        <v>301</v>
      </c>
      <c r="L25" s="175">
        <v>2</v>
      </c>
      <c r="M25" s="175" t="s">
        <v>301</v>
      </c>
      <c r="N25" s="175" t="s">
        <v>476</v>
      </c>
      <c r="O25" s="175" t="s">
        <v>301</v>
      </c>
      <c r="P25" s="175" t="s">
        <v>477</v>
      </c>
      <c r="Q25" s="175" t="s">
        <v>301</v>
      </c>
      <c r="R25" s="175">
        <v>70</v>
      </c>
      <c r="S25" s="175" t="s">
        <v>301</v>
      </c>
      <c r="T25" s="175" t="s">
        <v>301</v>
      </c>
      <c r="U25" s="175" t="s">
        <v>301</v>
      </c>
      <c r="V25" s="175" t="s">
        <v>301</v>
      </c>
      <c r="W25" s="175" t="s">
        <v>478</v>
      </c>
      <c r="X25" s="175" t="s">
        <v>301</v>
      </c>
      <c r="Y25" s="175" t="s">
        <v>301</v>
      </c>
      <c r="Z25" s="175" t="s">
        <v>301</v>
      </c>
      <c r="AA25" s="175" t="s">
        <v>301</v>
      </c>
    </row>
    <row r="26" spans="1:27" ht="21.75" customHeight="1" x14ac:dyDescent="0.25"/>
    <row r="27" spans="1:27" s="121" customFormat="1" ht="12.75" x14ac:dyDescent="0.2">
      <c r="A27" s="120"/>
      <c r="B27" s="120"/>
      <c r="C27" s="120"/>
      <c r="E27" s="120"/>
      <c r="X27" s="122"/>
      <c r="Y27" s="122"/>
      <c r="Z27" s="122"/>
      <c r="AA27" s="122"/>
    </row>
    <row r="28" spans="1:27" s="121" customFormat="1" ht="12.75" x14ac:dyDescent="0.2">
      <c r="A28" s="120"/>
      <c r="B28" s="120"/>
      <c r="C28" s="120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5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31" t="str">
        <f>'1. паспорт местоположение'!A5:C5</f>
        <v>Год раскрытия информации: 2025 год</v>
      </c>
      <c r="B5" s="231"/>
      <c r="C5" s="231"/>
    </row>
    <row r="6" spans="1:3" s="2" customFormat="1" ht="7.5" customHeight="1" x14ac:dyDescent="0.2">
      <c r="A6" s="30"/>
    </row>
    <row r="7" spans="1:3" s="2" customFormat="1" ht="18.75" x14ac:dyDescent="0.2">
      <c r="A7" s="235" t="s">
        <v>5</v>
      </c>
      <c r="B7" s="235"/>
      <c r="C7" s="235"/>
    </row>
    <row r="8" spans="1:3" s="2" customFormat="1" ht="9.75" customHeight="1" x14ac:dyDescent="0.2">
      <c r="A8" s="235"/>
      <c r="B8" s="235"/>
      <c r="C8" s="235"/>
    </row>
    <row r="9" spans="1:3" s="2" customFormat="1" ht="15.75" x14ac:dyDescent="0.2">
      <c r="A9" s="236" t="str">
        <f>'1. паспорт местоположение'!A9:C9</f>
        <v>АО "Чеченэнерго"</v>
      </c>
      <c r="B9" s="236"/>
      <c r="C9" s="236"/>
    </row>
    <row r="10" spans="1:3" s="2" customFormat="1" ht="15.75" x14ac:dyDescent="0.2">
      <c r="A10" s="237" t="s">
        <v>4</v>
      </c>
      <c r="B10" s="237"/>
      <c r="C10" s="237"/>
    </row>
    <row r="11" spans="1:3" s="2" customFormat="1" ht="10.5" customHeight="1" x14ac:dyDescent="0.2">
      <c r="A11" s="266"/>
      <c r="B11" s="266"/>
      <c r="C11" s="266"/>
    </row>
    <row r="12" spans="1:3" s="2" customFormat="1" ht="15.75" x14ac:dyDescent="0.2">
      <c r="A12" s="236" t="str">
        <f>'1. паспорт местоположение'!A12:C12</f>
        <v>M_Che442</v>
      </c>
      <c r="B12" s="236"/>
      <c r="C12" s="236"/>
    </row>
    <row r="13" spans="1:3" s="2" customFormat="1" ht="15.75" x14ac:dyDescent="0.2">
      <c r="A13" s="237" t="s">
        <v>3</v>
      </c>
      <c r="B13" s="237"/>
      <c r="C13" s="237"/>
    </row>
    <row r="14" spans="1:3" s="44" customFormat="1" ht="15.75" customHeight="1" x14ac:dyDescent="0.2">
      <c r="A14" s="267"/>
      <c r="B14" s="267"/>
      <c r="C14" s="267"/>
    </row>
    <row r="15" spans="1:3" s="45" customFormat="1" ht="44.25" customHeight="1" x14ac:dyDescent="0.2">
      <c r="A15" s="238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8"/>
      <c r="C15" s="238"/>
    </row>
    <row r="16" spans="1:3" s="45" customFormat="1" ht="15" customHeight="1" x14ac:dyDescent="0.2">
      <c r="A16" s="237" t="s">
        <v>2</v>
      </c>
      <c r="B16" s="237"/>
      <c r="C16" s="237"/>
    </row>
    <row r="17" spans="1:3" s="45" customFormat="1" ht="9" customHeight="1" x14ac:dyDescent="0.2">
      <c r="A17" s="243"/>
      <c r="B17" s="243"/>
      <c r="C17" s="243"/>
    </row>
    <row r="18" spans="1:3" s="45" customFormat="1" ht="27.75" customHeight="1" x14ac:dyDescent="0.2">
      <c r="A18" s="265" t="s">
        <v>271</v>
      </c>
      <c r="B18" s="265"/>
      <c r="C18" s="265"/>
    </row>
    <row r="19" spans="1:3" s="45" customFormat="1" ht="9" customHeight="1" x14ac:dyDescent="0.2">
      <c r="A19" s="73"/>
      <c r="B19" s="73"/>
      <c r="C19" s="73"/>
    </row>
    <row r="20" spans="1:3" s="45" customFormat="1" ht="24.75" customHeight="1" x14ac:dyDescent="0.2">
      <c r="A20" s="117" t="s">
        <v>1</v>
      </c>
      <c r="B20" s="109" t="s">
        <v>55</v>
      </c>
      <c r="C20" s="108" t="s">
        <v>54</v>
      </c>
    </row>
    <row r="21" spans="1:3" s="45" customFormat="1" ht="16.5" customHeight="1" x14ac:dyDescent="0.2">
      <c r="A21" s="108">
        <v>1</v>
      </c>
      <c r="B21" s="109">
        <v>2</v>
      </c>
      <c r="C21" s="108">
        <v>3</v>
      </c>
    </row>
    <row r="22" spans="1:3" s="45" customFormat="1" ht="60" customHeight="1" x14ac:dyDescent="0.2">
      <c r="A22" s="3" t="s">
        <v>53</v>
      </c>
      <c r="B22" s="5" t="s">
        <v>275</v>
      </c>
      <c r="C22" s="4" t="s">
        <v>500</v>
      </c>
    </row>
    <row r="23" spans="1:3" ht="63" customHeight="1" x14ac:dyDescent="0.25">
      <c r="A23" s="3" t="s">
        <v>52</v>
      </c>
      <c r="B23" s="118" t="s">
        <v>49</v>
      </c>
      <c r="C23" s="4" t="s">
        <v>501</v>
      </c>
    </row>
    <row r="24" spans="1:3" ht="47.25" x14ac:dyDescent="0.25">
      <c r="A24" s="3" t="s">
        <v>51</v>
      </c>
      <c r="B24" s="118" t="s">
        <v>281</v>
      </c>
      <c r="C24" s="117" t="s">
        <v>471</v>
      </c>
    </row>
    <row r="25" spans="1:3" ht="38.25" customHeight="1" x14ac:dyDescent="0.25">
      <c r="A25" s="3" t="s">
        <v>50</v>
      </c>
      <c r="B25" s="118" t="s">
        <v>282</v>
      </c>
      <c r="C25" s="4" t="s">
        <v>502</v>
      </c>
    </row>
    <row r="26" spans="1:3" ht="33" customHeight="1" x14ac:dyDescent="0.25">
      <c r="A26" s="3" t="s">
        <v>48</v>
      </c>
      <c r="B26" s="118" t="s">
        <v>166</v>
      </c>
      <c r="C26" s="117" t="s">
        <v>451</v>
      </c>
    </row>
    <row r="27" spans="1:3" ht="15.75" x14ac:dyDescent="0.25">
      <c r="A27" s="3" t="s">
        <v>47</v>
      </c>
      <c r="B27" s="118" t="s">
        <v>276</v>
      </c>
      <c r="C27" s="117" t="s">
        <v>479</v>
      </c>
    </row>
    <row r="28" spans="1:3" ht="27.75" customHeight="1" x14ac:dyDescent="0.25">
      <c r="A28" s="3" t="s">
        <v>45</v>
      </c>
      <c r="B28" s="118" t="s">
        <v>46</v>
      </c>
      <c r="C28" s="65">
        <v>2022</v>
      </c>
    </row>
    <row r="29" spans="1:3" ht="22.5" customHeight="1" x14ac:dyDescent="0.25">
      <c r="A29" s="3" t="s">
        <v>43</v>
      </c>
      <c r="B29" s="117" t="s">
        <v>44</v>
      </c>
      <c r="C29" s="65">
        <v>2023</v>
      </c>
    </row>
    <row r="30" spans="1:3" ht="24.75" customHeight="1" x14ac:dyDescent="0.25">
      <c r="A30" s="3" t="s">
        <v>61</v>
      </c>
      <c r="B30" s="117" t="s">
        <v>42</v>
      </c>
      <c r="C30" s="77" t="s">
        <v>503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231" t="str">
        <f>'1. паспорт местоположение'!$A$5</f>
        <v>Год раскрытия информации: 2025 год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</row>
    <row r="5" spans="1:28" s="2" customFormat="1" ht="15.75" x14ac:dyDescent="0.2">
      <c r="A5" s="30"/>
    </row>
    <row r="6" spans="1:28" s="2" customFormat="1" ht="18.75" x14ac:dyDescent="0.2">
      <c r="A6" s="235" t="s">
        <v>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</row>
    <row r="7" spans="1:28" s="2" customFormat="1" ht="18.75" x14ac:dyDescent="0.2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</row>
    <row r="8" spans="1:28" s="2" customFormat="1" ht="18.75" customHeight="1" x14ac:dyDescent="0.2">
      <c r="A8" s="236" t="s">
        <v>309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8" s="2" customFormat="1" ht="18.75" customHeight="1" x14ac:dyDescent="0.2">
      <c r="A9" s="237" t="s">
        <v>4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</row>
    <row r="10" spans="1:28" s="2" customFormat="1" ht="18.75" x14ac:dyDescent="0.2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</row>
    <row r="11" spans="1:28" s="2" customFormat="1" ht="18.75" customHeight="1" x14ac:dyDescent="0.2">
      <c r="A11" s="236" t="str">
        <f>'1. паспорт местоположение'!A12:C12</f>
        <v>M_Che442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</row>
    <row r="12" spans="1:28" s="2" customFormat="1" ht="18.75" customHeight="1" x14ac:dyDescent="0.2">
      <c r="A12" s="237" t="s">
        <v>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</row>
    <row r="13" spans="1:28" s="44" customFormat="1" ht="15.75" customHeight="1" x14ac:dyDescent="0.2">
      <c r="A13" s="241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</row>
    <row r="14" spans="1:28" s="45" customFormat="1" ht="37.5" customHeight="1" x14ac:dyDescent="0.2">
      <c r="A14" s="238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8" s="45" customFormat="1" ht="15" customHeight="1" x14ac:dyDescent="0.2">
      <c r="A15" s="237" t="s">
        <v>2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</row>
    <row r="16" spans="1:28" x14ac:dyDescent="0.25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51"/>
      <c r="AB16" s="51"/>
    </row>
    <row r="17" spans="1:28" x14ac:dyDescent="0.25">
      <c r="A17" s="268"/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51"/>
      <c r="AB17" s="51"/>
    </row>
    <row r="18" spans="1:28" x14ac:dyDescent="0.25">
      <c r="A18" s="268"/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  <c r="AA18" s="51"/>
      <c r="AB18" s="51"/>
    </row>
    <row r="19" spans="1:28" x14ac:dyDescent="0.25">
      <c r="A19" s="268"/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51"/>
      <c r="AB19" s="51"/>
    </row>
    <row r="20" spans="1:28" x14ac:dyDescent="0.25">
      <c r="A20" s="268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51"/>
      <c r="AB20" s="51"/>
    </row>
    <row r="21" spans="1:28" x14ac:dyDescent="0.25">
      <c r="A21" s="268"/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51"/>
      <c r="AB21" s="51"/>
    </row>
    <row r="22" spans="1:28" x14ac:dyDescent="0.25">
      <c r="A22" s="273" t="s">
        <v>373</v>
      </c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3"/>
      <c r="Z22" s="273"/>
      <c r="AA22" s="53"/>
      <c r="AB22" s="53"/>
    </row>
    <row r="23" spans="1:28" ht="32.25" customHeight="1" x14ac:dyDescent="0.25">
      <c r="A23" s="269" t="s">
        <v>374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1"/>
      <c r="M23" s="272" t="s">
        <v>375</v>
      </c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</row>
    <row r="24" spans="1:28" ht="151.5" customHeight="1" x14ac:dyDescent="0.25">
      <c r="A24" s="110" t="s">
        <v>376</v>
      </c>
      <c r="B24" s="111" t="s">
        <v>377</v>
      </c>
      <c r="C24" s="110" t="s">
        <v>378</v>
      </c>
      <c r="D24" s="110" t="s">
        <v>379</v>
      </c>
      <c r="E24" s="110" t="s">
        <v>380</v>
      </c>
      <c r="F24" s="110" t="s">
        <v>400</v>
      </c>
      <c r="G24" s="110" t="s">
        <v>401</v>
      </c>
      <c r="H24" s="110" t="s">
        <v>381</v>
      </c>
      <c r="I24" s="110" t="s">
        <v>402</v>
      </c>
      <c r="J24" s="110" t="s">
        <v>382</v>
      </c>
      <c r="K24" s="111" t="s">
        <v>383</v>
      </c>
      <c r="L24" s="111" t="s">
        <v>384</v>
      </c>
      <c r="M24" s="112" t="s">
        <v>385</v>
      </c>
      <c r="N24" s="111" t="s">
        <v>403</v>
      </c>
      <c r="O24" s="110" t="s">
        <v>404</v>
      </c>
      <c r="P24" s="110" t="s">
        <v>405</v>
      </c>
      <c r="Q24" s="110" t="s">
        <v>406</v>
      </c>
      <c r="R24" s="110" t="s">
        <v>381</v>
      </c>
      <c r="S24" s="110" t="s">
        <v>407</v>
      </c>
      <c r="T24" s="110" t="s">
        <v>408</v>
      </c>
      <c r="U24" s="110" t="s">
        <v>409</v>
      </c>
      <c r="V24" s="110" t="s">
        <v>406</v>
      </c>
      <c r="W24" s="113" t="s">
        <v>410</v>
      </c>
      <c r="X24" s="113" t="s">
        <v>411</v>
      </c>
      <c r="Y24" s="113" t="s">
        <v>412</v>
      </c>
      <c r="Z24" s="54" t="s">
        <v>386</v>
      </c>
    </row>
    <row r="25" spans="1:28" ht="16.5" customHeight="1" x14ac:dyDescent="0.25">
      <c r="A25" s="110">
        <v>1</v>
      </c>
      <c r="B25" s="111">
        <v>2</v>
      </c>
      <c r="C25" s="110">
        <v>3</v>
      </c>
      <c r="D25" s="111">
        <v>4</v>
      </c>
      <c r="E25" s="110">
        <v>5</v>
      </c>
      <c r="F25" s="111">
        <v>6</v>
      </c>
      <c r="G25" s="110">
        <v>7</v>
      </c>
      <c r="H25" s="111">
        <v>8</v>
      </c>
      <c r="I25" s="110">
        <v>9</v>
      </c>
      <c r="J25" s="111">
        <v>10</v>
      </c>
      <c r="K25" s="110">
        <v>11</v>
      </c>
      <c r="L25" s="111">
        <v>12</v>
      </c>
      <c r="M25" s="110">
        <v>13</v>
      </c>
      <c r="N25" s="111">
        <v>14</v>
      </c>
      <c r="O25" s="110">
        <v>15</v>
      </c>
      <c r="P25" s="111">
        <v>16</v>
      </c>
      <c r="Q25" s="110">
        <v>17</v>
      </c>
      <c r="R25" s="111">
        <v>18</v>
      </c>
      <c r="S25" s="110">
        <v>19</v>
      </c>
      <c r="T25" s="111">
        <v>20</v>
      </c>
      <c r="U25" s="110">
        <v>21</v>
      </c>
      <c r="V25" s="111">
        <v>22</v>
      </c>
      <c r="W25" s="110">
        <v>23</v>
      </c>
      <c r="X25" s="111">
        <v>24</v>
      </c>
      <c r="Y25" s="110">
        <v>25</v>
      </c>
      <c r="Z25" s="111">
        <v>26</v>
      </c>
    </row>
    <row r="26" spans="1:28" ht="45.75" customHeight="1" x14ac:dyDescent="0.25">
      <c r="A26" s="18" t="s">
        <v>387</v>
      </c>
      <c r="B26" s="18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4"/>
      <c r="L26" s="55" t="s">
        <v>388</v>
      </c>
      <c r="M26" s="56" t="s">
        <v>299</v>
      </c>
      <c r="N26" s="114" t="s">
        <v>301</v>
      </c>
      <c r="O26" s="114" t="s">
        <v>301</v>
      </c>
      <c r="P26" s="114" t="s">
        <v>301</v>
      </c>
      <c r="Q26" s="114" t="s">
        <v>301</v>
      </c>
      <c r="R26" s="114" t="s">
        <v>301</v>
      </c>
      <c r="S26" s="114" t="s">
        <v>301</v>
      </c>
      <c r="T26" s="114" t="s">
        <v>301</v>
      </c>
      <c r="U26" s="114" t="s">
        <v>301</v>
      </c>
      <c r="V26" s="114" t="s">
        <v>301</v>
      </c>
      <c r="W26" s="114" t="s">
        <v>301</v>
      </c>
      <c r="X26" s="114" t="s">
        <v>301</v>
      </c>
      <c r="Y26" s="114" t="s">
        <v>301</v>
      </c>
      <c r="Z26" s="115" t="s">
        <v>389</v>
      </c>
    </row>
    <row r="27" spans="1:28" x14ac:dyDescent="0.25">
      <c r="A27" s="114" t="s">
        <v>390</v>
      </c>
      <c r="B27" s="114" t="s">
        <v>391</v>
      </c>
      <c r="C27" s="114" t="s">
        <v>301</v>
      </c>
      <c r="D27" s="114" t="s">
        <v>301</v>
      </c>
      <c r="E27" s="114" t="s">
        <v>301</v>
      </c>
      <c r="F27" s="114" t="s">
        <v>301</v>
      </c>
      <c r="G27" s="114" t="s">
        <v>301</v>
      </c>
      <c r="H27" s="114" t="s">
        <v>301</v>
      </c>
      <c r="I27" s="114" t="s">
        <v>301</v>
      </c>
      <c r="J27" s="114" t="s">
        <v>301</v>
      </c>
      <c r="K27" s="55" t="s">
        <v>392</v>
      </c>
      <c r="L27" s="114" t="s">
        <v>301</v>
      </c>
      <c r="M27" s="55" t="s">
        <v>300</v>
      </c>
      <c r="N27" s="114" t="s">
        <v>301</v>
      </c>
      <c r="O27" s="114" t="s">
        <v>301</v>
      </c>
      <c r="P27" s="114" t="s">
        <v>301</v>
      </c>
      <c r="Q27" s="114" t="s">
        <v>301</v>
      </c>
      <c r="R27" s="114" t="s">
        <v>301</v>
      </c>
      <c r="S27" s="114" t="s">
        <v>301</v>
      </c>
      <c r="T27" s="114" t="s">
        <v>301</v>
      </c>
      <c r="U27" s="114" t="s">
        <v>301</v>
      </c>
      <c r="V27" s="114" t="s">
        <v>301</v>
      </c>
      <c r="W27" s="114" t="s">
        <v>301</v>
      </c>
      <c r="X27" s="114" t="s">
        <v>301</v>
      </c>
      <c r="Y27" s="114" t="s">
        <v>301</v>
      </c>
      <c r="Z27" s="114" t="s">
        <v>301</v>
      </c>
    </row>
    <row r="28" spans="1:28" x14ac:dyDescent="0.25">
      <c r="A28" s="114" t="s">
        <v>390</v>
      </c>
      <c r="B28" s="114" t="s">
        <v>393</v>
      </c>
      <c r="C28" s="114" t="s">
        <v>301</v>
      </c>
      <c r="D28" s="114" t="s">
        <v>301</v>
      </c>
      <c r="E28" s="114" t="s">
        <v>301</v>
      </c>
      <c r="F28" s="114" t="s">
        <v>301</v>
      </c>
      <c r="G28" s="114" t="s">
        <v>301</v>
      </c>
      <c r="H28" s="114" t="s">
        <v>301</v>
      </c>
      <c r="I28" s="114" t="s">
        <v>301</v>
      </c>
      <c r="J28" s="114" t="s">
        <v>301</v>
      </c>
      <c r="K28" s="55" t="s">
        <v>394</v>
      </c>
      <c r="L28" s="114" t="s">
        <v>301</v>
      </c>
      <c r="M28" s="55" t="s">
        <v>395</v>
      </c>
      <c r="N28" s="114" t="s">
        <v>301</v>
      </c>
      <c r="O28" s="114" t="s">
        <v>301</v>
      </c>
      <c r="P28" s="114" t="s">
        <v>301</v>
      </c>
      <c r="Q28" s="114" t="s">
        <v>301</v>
      </c>
      <c r="R28" s="114" t="s">
        <v>301</v>
      </c>
      <c r="S28" s="114" t="s">
        <v>301</v>
      </c>
      <c r="T28" s="114" t="s">
        <v>301</v>
      </c>
      <c r="U28" s="114" t="s">
        <v>301</v>
      </c>
      <c r="V28" s="114" t="s">
        <v>301</v>
      </c>
      <c r="W28" s="114" t="s">
        <v>301</v>
      </c>
      <c r="X28" s="114" t="s">
        <v>301</v>
      </c>
      <c r="Y28" s="114" t="s">
        <v>301</v>
      </c>
      <c r="Z28" s="114" t="s">
        <v>301</v>
      </c>
    </row>
    <row r="29" spans="1:28" x14ac:dyDescent="0.25">
      <c r="A29" s="114" t="s">
        <v>390</v>
      </c>
      <c r="B29" s="114" t="s">
        <v>396</v>
      </c>
      <c r="C29" s="114" t="s">
        <v>301</v>
      </c>
      <c r="D29" s="114" t="s">
        <v>301</v>
      </c>
      <c r="E29" s="114" t="s">
        <v>301</v>
      </c>
      <c r="F29" s="114" t="s">
        <v>301</v>
      </c>
      <c r="G29" s="114" t="s">
        <v>301</v>
      </c>
      <c r="H29" s="114" t="s">
        <v>301</v>
      </c>
      <c r="I29" s="114" t="s">
        <v>301</v>
      </c>
      <c r="J29" s="114" t="s">
        <v>301</v>
      </c>
      <c r="K29" s="55" t="s">
        <v>397</v>
      </c>
      <c r="L29" s="114" t="s">
        <v>301</v>
      </c>
      <c r="M29" s="114" t="s">
        <v>301</v>
      </c>
      <c r="N29" s="114" t="s">
        <v>301</v>
      </c>
      <c r="O29" s="114" t="s">
        <v>301</v>
      </c>
      <c r="P29" s="114" t="s">
        <v>301</v>
      </c>
      <c r="Q29" s="114" t="s">
        <v>301</v>
      </c>
      <c r="R29" s="114" t="s">
        <v>301</v>
      </c>
      <c r="S29" s="114" t="s">
        <v>301</v>
      </c>
      <c r="T29" s="114" t="s">
        <v>301</v>
      </c>
      <c r="U29" s="114" t="s">
        <v>301</v>
      </c>
      <c r="V29" s="114" t="s">
        <v>301</v>
      </c>
      <c r="W29" s="114" t="s">
        <v>301</v>
      </c>
      <c r="X29" s="114" t="s">
        <v>301</v>
      </c>
      <c r="Y29" s="114" t="s">
        <v>301</v>
      </c>
      <c r="Z29" s="114" t="s">
        <v>301</v>
      </c>
    </row>
    <row r="30" spans="1:28" x14ac:dyDescent="0.25">
      <c r="A30" s="114" t="s">
        <v>390</v>
      </c>
      <c r="B30" s="114" t="s">
        <v>398</v>
      </c>
      <c r="C30" s="114" t="s">
        <v>301</v>
      </c>
      <c r="D30" s="114" t="s">
        <v>301</v>
      </c>
      <c r="E30" s="114" t="s">
        <v>301</v>
      </c>
      <c r="F30" s="114" t="s">
        <v>301</v>
      </c>
      <c r="G30" s="114" t="s">
        <v>301</v>
      </c>
      <c r="H30" s="114" t="s">
        <v>301</v>
      </c>
      <c r="I30" s="114" t="s">
        <v>301</v>
      </c>
      <c r="J30" s="114" t="s">
        <v>301</v>
      </c>
      <c r="K30" s="55" t="s">
        <v>399</v>
      </c>
      <c r="L30" s="114" t="s">
        <v>301</v>
      </c>
      <c r="M30" s="114" t="s">
        <v>301</v>
      </c>
      <c r="N30" s="114" t="s">
        <v>301</v>
      </c>
      <c r="O30" s="114" t="s">
        <v>301</v>
      </c>
      <c r="P30" s="114" t="s">
        <v>301</v>
      </c>
      <c r="Q30" s="114" t="s">
        <v>301</v>
      </c>
      <c r="R30" s="114" t="s">
        <v>301</v>
      </c>
      <c r="S30" s="114" t="s">
        <v>301</v>
      </c>
      <c r="T30" s="114" t="s">
        <v>301</v>
      </c>
      <c r="U30" s="114" t="s">
        <v>301</v>
      </c>
      <c r="V30" s="114" t="s">
        <v>301</v>
      </c>
      <c r="W30" s="114" t="s">
        <v>301</v>
      </c>
      <c r="X30" s="114" t="s">
        <v>301</v>
      </c>
      <c r="Y30" s="114" t="s">
        <v>301</v>
      </c>
      <c r="Z30" s="114" t="s">
        <v>301</v>
      </c>
    </row>
    <row r="31" spans="1:28" x14ac:dyDescent="0.25">
      <c r="A31" s="114" t="s">
        <v>395</v>
      </c>
      <c r="B31" s="114" t="s">
        <v>395</v>
      </c>
      <c r="C31" s="114" t="s">
        <v>395</v>
      </c>
      <c r="D31" s="114" t="s">
        <v>395</v>
      </c>
      <c r="E31" s="114" t="s">
        <v>395</v>
      </c>
      <c r="F31" s="114" t="s">
        <v>395</v>
      </c>
      <c r="G31" s="114" t="s">
        <v>395</v>
      </c>
      <c r="H31" s="114" t="s">
        <v>395</v>
      </c>
      <c r="I31" s="114" t="s">
        <v>395</v>
      </c>
      <c r="J31" s="114" t="s">
        <v>395</v>
      </c>
      <c r="K31" s="114" t="s">
        <v>395</v>
      </c>
      <c r="L31" s="114" t="s">
        <v>301</v>
      </c>
      <c r="M31" s="114" t="s">
        <v>301</v>
      </c>
      <c r="N31" s="114" t="s">
        <v>301</v>
      </c>
      <c r="O31" s="114" t="s">
        <v>301</v>
      </c>
      <c r="P31" s="114" t="s">
        <v>301</v>
      </c>
      <c r="Q31" s="114" t="s">
        <v>301</v>
      </c>
      <c r="R31" s="114" t="s">
        <v>301</v>
      </c>
      <c r="S31" s="114" t="s">
        <v>301</v>
      </c>
      <c r="T31" s="114" t="s">
        <v>301</v>
      </c>
      <c r="U31" s="114" t="s">
        <v>301</v>
      </c>
      <c r="V31" s="114" t="s">
        <v>301</v>
      </c>
      <c r="W31" s="114" t="s">
        <v>301</v>
      </c>
      <c r="X31" s="114" t="s">
        <v>301</v>
      </c>
      <c r="Y31" s="114" t="s">
        <v>301</v>
      </c>
      <c r="Z31" s="114" t="s">
        <v>301</v>
      </c>
    </row>
    <row r="32" spans="1:28" ht="30" x14ac:dyDescent="0.25">
      <c r="A32" s="18" t="s">
        <v>387</v>
      </c>
      <c r="B32" s="18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4"/>
      <c r="L32" s="114" t="s">
        <v>301</v>
      </c>
      <c r="M32" s="114" t="s">
        <v>301</v>
      </c>
      <c r="N32" s="114" t="s">
        <v>301</v>
      </c>
      <c r="O32" s="114" t="s">
        <v>301</v>
      </c>
      <c r="P32" s="114" t="s">
        <v>301</v>
      </c>
      <c r="Q32" s="114" t="s">
        <v>301</v>
      </c>
      <c r="R32" s="114" t="s">
        <v>301</v>
      </c>
      <c r="S32" s="114" t="s">
        <v>301</v>
      </c>
      <c r="T32" s="114" t="s">
        <v>301</v>
      </c>
      <c r="U32" s="114" t="s">
        <v>301</v>
      </c>
      <c r="V32" s="114" t="s">
        <v>301</v>
      </c>
      <c r="W32" s="114" t="s">
        <v>301</v>
      </c>
      <c r="X32" s="114" t="s">
        <v>301</v>
      </c>
      <c r="Y32" s="114" t="s">
        <v>301</v>
      </c>
      <c r="Z32" s="114" t="s">
        <v>301</v>
      </c>
    </row>
    <row r="33" spans="1:26" x14ac:dyDescent="0.25">
      <c r="A33" s="114" t="s">
        <v>395</v>
      </c>
      <c r="B33" s="114" t="s">
        <v>395</v>
      </c>
      <c r="C33" s="114" t="s">
        <v>395</v>
      </c>
      <c r="D33" s="114" t="s">
        <v>395</v>
      </c>
      <c r="E33" s="114" t="s">
        <v>395</v>
      </c>
      <c r="F33" s="114" t="s">
        <v>395</v>
      </c>
      <c r="G33" s="114" t="s">
        <v>395</v>
      </c>
      <c r="H33" s="114" t="s">
        <v>395</v>
      </c>
      <c r="I33" s="114" t="s">
        <v>395</v>
      </c>
      <c r="J33" s="114" t="s">
        <v>395</v>
      </c>
      <c r="K33" s="114" t="s">
        <v>395</v>
      </c>
      <c r="L33" s="114" t="s">
        <v>301</v>
      </c>
      <c r="M33" s="114" t="s">
        <v>301</v>
      </c>
      <c r="N33" s="114" t="s">
        <v>301</v>
      </c>
      <c r="O33" s="114" t="s">
        <v>301</v>
      </c>
      <c r="P33" s="114" t="s">
        <v>301</v>
      </c>
      <c r="Q33" s="114" t="s">
        <v>301</v>
      </c>
      <c r="R33" s="114" t="s">
        <v>301</v>
      </c>
      <c r="S33" s="114" t="s">
        <v>301</v>
      </c>
      <c r="T33" s="114" t="s">
        <v>301</v>
      </c>
      <c r="U33" s="114" t="s">
        <v>301</v>
      </c>
      <c r="V33" s="114" t="s">
        <v>301</v>
      </c>
      <c r="W33" s="114" t="s">
        <v>301</v>
      </c>
      <c r="X33" s="114" t="s">
        <v>301</v>
      </c>
      <c r="Y33" s="114" t="s">
        <v>301</v>
      </c>
      <c r="Z33" s="114" t="s">
        <v>301</v>
      </c>
    </row>
    <row r="37" spans="1:26" x14ac:dyDescent="0.25">
      <c r="A37" s="116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31" t="str">
        <f>'1. паспорт местоположение'!$A$5</f>
        <v>Год раскрытия информации: 2025 год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0" s="2" customFormat="1" ht="15.75" x14ac:dyDescent="0.2">
      <c r="A7" s="30"/>
    </row>
    <row r="8" spans="1:20" s="2" customFormat="1" ht="18.75" x14ac:dyDescent="0.2">
      <c r="A8" s="235" t="s">
        <v>5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</row>
    <row r="9" spans="1:20" s="2" customFormat="1" ht="18.75" x14ac:dyDescent="0.2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</row>
    <row r="10" spans="1:20" s="2" customFormat="1" ht="18.75" customHeight="1" x14ac:dyDescent="0.2">
      <c r="A10" s="236" t="s">
        <v>309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</row>
    <row r="11" spans="1:20" s="2" customFormat="1" ht="18.75" customHeight="1" x14ac:dyDescent="0.2">
      <c r="A11" s="237" t="s">
        <v>4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</row>
    <row r="12" spans="1:20" s="2" customFormat="1" ht="18.75" x14ac:dyDescent="0.2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</row>
    <row r="13" spans="1:20" s="2" customFormat="1" ht="18.75" customHeight="1" x14ac:dyDescent="0.2">
      <c r="A13" s="236" t="str">
        <f>'1. паспорт местоположение'!A12:C12</f>
        <v>M_Che442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</row>
    <row r="14" spans="1:20" s="2" customFormat="1" ht="18.75" customHeight="1" x14ac:dyDescent="0.2">
      <c r="A14" s="237" t="s">
        <v>3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</row>
    <row r="15" spans="1:20" s="44" customFormat="1" ht="15.75" customHeight="1" x14ac:dyDescent="0.2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</row>
    <row r="16" spans="1:20" s="45" customFormat="1" ht="15.75" x14ac:dyDescent="0.2">
      <c r="A16" s="236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</row>
    <row r="17" spans="1:20" s="45" customFormat="1" ht="15" customHeight="1" x14ac:dyDescent="0.2">
      <c r="A17" s="237" t="s">
        <v>2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</row>
    <row r="18" spans="1:20" ht="96" customHeight="1" x14ac:dyDescent="0.25">
      <c r="A18" s="274" t="s">
        <v>427</v>
      </c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</row>
    <row r="19" spans="1:20" ht="15.75" customHeight="1" x14ac:dyDescent="0.25">
      <c r="A19" s="242" t="s">
        <v>1</v>
      </c>
      <c r="B19" s="242" t="s">
        <v>428</v>
      </c>
      <c r="C19" s="242" t="s">
        <v>429</v>
      </c>
      <c r="D19" s="242" t="s">
        <v>430</v>
      </c>
      <c r="E19" s="275" t="s">
        <v>431</v>
      </c>
      <c r="F19" s="276"/>
      <c r="G19" s="276"/>
      <c r="H19" s="276"/>
      <c r="I19" s="277"/>
      <c r="J19" s="275" t="s">
        <v>432</v>
      </c>
      <c r="K19" s="276"/>
      <c r="L19" s="276"/>
      <c r="M19" s="276"/>
      <c r="N19" s="276"/>
      <c r="O19" s="277"/>
    </row>
    <row r="20" spans="1:20" ht="123" customHeight="1" x14ac:dyDescent="0.25">
      <c r="A20" s="242"/>
      <c r="B20" s="242"/>
      <c r="C20" s="242"/>
      <c r="D20" s="242"/>
      <c r="E20" s="105" t="s">
        <v>433</v>
      </c>
      <c r="F20" s="105" t="s">
        <v>434</v>
      </c>
      <c r="G20" s="105" t="s">
        <v>435</v>
      </c>
      <c r="H20" s="105" t="s">
        <v>436</v>
      </c>
      <c r="I20" s="105" t="s">
        <v>64</v>
      </c>
      <c r="J20" s="105" t="s">
        <v>437</v>
      </c>
      <c r="K20" s="105" t="s">
        <v>438</v>
      </c>
      <c r="L20" s="106" t="s">
        <v>439</v>
      </c>
      <c r="M20" s="107" t="s">
        <v>440</v>
      </c>
      <c r="N20" s="107" t="s">
        <v>441</v>
      </c>
      <c r="O20" s="107" t="s">
        <v>442</v>
      </c>
    </row>
    <row r="21" spans="1:20" ht="15.75" x14ac:dyDescent="0.25">
      <c r="A21" s="108">
        <v>1</v>
      </c>
      <c r="B21" s="109">
        <v>2</v>
      </c>
      <c r="C21" s="108">
        <v>3</v>
      </c>
      <c r="D21" s="109">
        <v>4</v>
      </c>
      <c r="E21" s="108">
        <v>5</v>
      </c>
      <c r="F21" s="109">
        <v>6</v>
      </c>
      <c r="G21" s="108">
        <v>7</v>
      </c>
      <c r="H21" s="109">
        <v>8</v>
      </c>
      <c r="I21" s="108">
        <v>9</v>
      </c>
      <c r="J21" s="109">
        <v>10</v>
      </c>
      <c r="K21" s="108">
        <v>11</v>
      </c>
      <c r="L21" s="109">
        <v>12</v>
      </c>
      <c r="M21" s="108">
        <v>13</v>
      </c>
      <c r="N21" s="109">
        <v>14</v>
      </c>
      <c r="O21" s="108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31" t="str">
        <f>'1. паспорт местоположение'!$A$5</f>
        <v>Год раскрытия информации: 2025 год</v>
      </c>
      <c r="B5" s="231"/>
      <c r="C5" s="231"/>
      <c r="D5" s="231"/>
      <c r="E5" s="231"/>
      <c r="F5" s="231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35" t="s">
        <v>5</v>
      </c>
      <c r="B7" s="235"/>
      <c r="C7" s="235"/>
      <c r="D7" s="235"/>
      <c r="E7" s="235"/>
      <c r="F7" s="235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236" t="s">
        <v>287</v>
      </c>
      <c r="B9" s="236"/>
      <c r="C9" s="236"/>
      <c r="D9" s="236"/>
      <c r="E9" s="236"/>
      <c r="F9" s="236"/>
    </row>
    <row r="10" spans="1:6" ht="15.75" x14ac:dyDescent="0.25">
      <c r="A10" s="237" t="s">
        <v>4</v>
      </c>
      <c r="B10" s="237"/>
      <c r="C10" s="237"/>
      <c r="D10" s="237"/>
      <c r="E10" s="237"/>
      <c r="F10" s="237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236" t="str">
        <f>'1. паспорт местоположение'!A12:C12</f>
        <v>M_Che442</v>
      </c>
      <c r="B12" s="236"/>
      <c r="C12" s="236"/>
      <c r="D12" s="236"/>
      <c r="E12" s="236"/>
      <c r="F12" s="236"/>
    </row>
    <row r="13" spans="1:6" ht="15.75" x14ac:dyDescent="0.25">
      <c r="A13" s="237" t="s">
        <v>3</v>
      </c>
      <c r="B13" s="237"/>
      <c r="C13" s="237"/>
      <c r="D13" s="237"/>
      <c r="E13" s="237"/>
      <c r="F13" s="237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238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8"/>
      <c r="C15" s="238"/>
      <c r="D15" s="238"/>
      <c r="E15" s="238"/>
      <c r="F15" s="238"/>
    </row>
    <row r="16" spans="1:6" ht="15.75" x14ac:dyDescent="0.25">
      <c r="A16" s="237" t="s">
        <v>2</v>
      </c>
      <c r="B16" s="237"/>
      <c r="C16" s="237"/>
      <c r="D16" s="237"/>
      <c r="E16" s="237"/>
      <c r="F16" s="237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49" t="s">
        <v>291</v>
      </c>
      <c r="B18" s="249"/>
      <c r="C18" s="249"/>
      <c r="D18" s="249"/>
      <c r="E18" s="249"/>
      <c r="F18" s="249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81" t="s">
        <v>292</v>
      </c>
      <c r="C21" s="282"/>
      <c r="D21" s="282"/>
      <c r="E21" s="283"/>
      <c r="F21" s="33"/>
    </row>
    <row r="22" spans="1:6" ht="15.75" x14ac:dyDescent="0.25">
      <c r="A22" s="33"/>
      <c r="B22" s="278" t="s">
        <v>293</v>
      </c>
      <c r="C22" s="279"/>
      <c r="D22" s="279" t="s">
        <v>294</v>
      </c>
      <c r="E22" s="280"/>
      <c r="F22" s="33"/>
    </row>
    <row r="23" spans="1:6" ht="63" x14ac:dyDescent="0.25">
      <c r="A23" s="33"/>
      <c r="B23" s="99" t="s">
        <v>295</v>
      </c>
      <c r="C23" s="162" t="s">
        <v>463</v>
      </c>
      <c r="D23" s="100" t="s">
        <v>296</v>
      </c>
      <c r="E23" s="101" t="s">
        <v>297</v>
      </c>
      <c r="F23" s="33"/>
    </row>
    <row r="24" spans="1:6" ht="15.75" x14ac:dyDescent="0.25">
      <c r="A24" s="33"/>
      <c r="B24" s="102">
        <v>-131.07146672485001</v>
      </c>
      <c r="C24" s="103">
        <v>0.15</v>
      </c>
      <c r="D24" s="104">
        <v>14</v>
      </c>
      <c r="E24" s="104" t="s">
        <v>298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55" zoomScaleNormal="100" zoomScaleSheetLayoutView="55" workbookViewId="0">
      <selection activeCell="C25" sqref="C25:D54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231" t="str">
        <f>'1. паспорт местоположение'!$A$5</f>
        <v>Год раскрытия информации: 2025 год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35" t="s">
        <v>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</row>
    <row r="8" spans="1:44" ht="18.75" x14ac:dyDescent="0.2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</row>
    <row r="9" spans="1:44" x14ac:dyDescent="0.25">
      <c r="A9" s="236" t="str">
        <f>'3.3 паспорт описание'!A9:C9</f>
        <v>АО "Чеченэнерго"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</row>
    <row r="10" spans="1:44" x14ac:dyDescent="0.25">
      <c r="A10" s="237" t="s">
        <v>4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</row>
    <row r="11" spans="1:44" x14ac:dyDescent="0.25">
      <c r="A11" s="266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</row>
    <row r="12" spans="1:44" x14ac:dyDescent="0.25">
      <c r="A12" s="236" t="str">
        <f>'3.3 паспорт описание'!A12:C12</f>
        <v>M_Che442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</row>
    <row r="13" spans="1:44" x14ac:dyDescent="0.25">
      <c r="A13" s="237" t="s">
        <v>3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</row>
    <row r="14" spans="1:44" x14ac:dyDescent="0.25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</row>
    <row r="15" spans="1:44" ht="30" customHeight="1" x14ac:dyDescent="0.25">
      <c r="A15" s="238" t="str">
        <f>'3.3 паспорт описание'!A15:C15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</row>
    <row r="16" spans="1:44" x14ac:dyDescent="0.25">
      <c r="A16" s="237" t="s">
        <v>2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95" t="s">
        <v>273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7" t="s">
        <v>158</v>
      </c>
      <c r="B21" s="287" t="s">
        <v>157</v>
      </c>
      <c r="C21" s="290" t="s">
        <v>219</v>
      </c>
      <c r="D21" s="291"/>
      <c r="E21" s="291"/>
      <c r="F21" s="291"/>
      <c r="G21" s="291"/>
      <c r="H21" s="292"/>
      <c r="I21" s="284" t="s">
        <v>156</v>
      </c>
      <c r="J21" s="284" t="s">
        <v>221</v>
      </c>
      <c r="K21" s="287" t="s">
        <v>155</v>
      </c>
      <c r="L21" s="296" t="s">
        <v>220</v>
      </c>
    </row>
    <row r="22" spans="1:12" ht="58.5" customHeight="1" x14ac:dyDescent="0.25">
      <c r="A22" s="288"/>
      <c r="B22" s="288"/>
      <c r="C22" s="293" t="s">
        <v>0</v>
      </c>
      <c r="D22" s="294"/>
      <c r="E22" s="21"/>
      <c r="F22" s="22"/>
      <c r="G22" s="293" t="s">
        <v>7</v>
      </c>
      <c r="H22" s="294"/>
      <c r="I22" s="285"/>
      <c r="J22" s="285"/>
      <c r="K22" s="288"/>
      <c r="L22" s="297"/>
    </row>
    <row r="23" spans="1:12" ht="34.5" customHeight="1" x14ac:dyDescent="0.25">
      <c r="A23" s="289"/>
      <c r="B23" s="289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86"/>
      <c r="J23" s="286"/>
      <c r="K23" s="289"/>
      <c r="L23" s="298"/>
    </row>
    <row r="24" spans="1:12" x14ac:dyDescent="0.25">
      <c r="A24" s="136">
        <v>1</v>
      </c>
      <c r="B24" s="136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7">
        <v>1</v>
      </c>
      <c r="B25" s="97" t="s">
        <v>152</v>
      </c>
      <c r="C25" s="222"/>
      <c r="D25" s="222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7" t="s">
        <v>151</v>
      </c>
      <c r="B26" s="4" t="s">
        <v>226</v>
      </c>
      <c r="C26" s="223">
        <v>44554</v>
      </c>
      <c r="D26" s="223">
        <v>44554</v>
      </c>
      <c r="E26" s="40" t="s">
        <v>288</v>
      </c>
      <c r="F26" s="40" t="s">
        <v>288</v>
      </c>
      <c r="G26" s="168">
        <v>44554</v>
      </c>
      <c r="H26" s="168">
        <v>44554</v>
      </c>
      <c r="I26" s="41">
        <v>1</v>
      </c>
      <c r="J26" s="41" t="s">
        <v>301</v>
      </c>
      <c r="K26" s="41" t="s">
        <v>301</v>
      </c>
      <c r="L26" s="41" t="s">
        <v>301</v>
      </c>
    </row>
    <row r="27" spans="1:12" s="39" customFormat="1" ht="39" customHeight="1" x14ac:dyDescent="0.25">
      <c r="A27" s="137" t="s">
        <v>150</v>
      </c>
      <c r="B27" s="4" t="s">
        <v>228</v>
      </c>
      <c r="C27" s="224" t="s">
        <v>301</v>
      </c>
      <c r="D27" s="224" t="s">
        <v>301</v>
      </c>
      <c r="E27" s="40" t="s">
        <v>288</v>
      </c>
      <c r="F27" s="40" t="s">
        <v>288</v>
      </c>
      <c r="G27" s="41" t="s">
        <v>301</v>
      </c>
      <c r="H27" s="41" t="s">
        <v>301</v>
      </c>
      <c r="I27" s="41" t="s">
        <v>301</v>
      </c>
      <c r="J27" s="41" t="s">
        <v>301</v>
      </c>
      <c r="K27" s="41" t="s">
        <v>301</v>
      </c>
      <c r="L27" s="41" t="s">
        <v>301</v>
      </c>
    </row>
    <row r="28" spans="1:12" s="39" customFormat="1" ht="70.5" customHeight="1" x14ac:dyDescent="0.25">
      <c r="A28" s="137" t="s">
        <v>227</v>
      </c>
      <c r="B28" s="4" t="s">
        <v>232</v>
      </c>
      <c r="C28" s="224" t="s">
        <v>301</v>
      </c>
      <c r="D28" s="224" t="s">
        <v>301</v>
      </c>
      <c r="E28" s="40" t="s">
        <v>288</v>
      </c>
      <c r="F28" s="40" t="s">
        <v>288</v>
      </c>
      <c r="G28" s="41" t="s">
        <v>301</v>
      </c>
      <c r="H28" s="41" t="s">
        <v>301</v>
      </c>
      <c r="I28" s="41" t="s">
        <v>301</v>
      </c>
      <c r="J28" s="41" t="s">
        <v>301</v>
      </c>
      <c r="K28" s="41" t="s">
        <v>301</v>
      </c>
      <c r="L28" s="41" t="s">
        <v>301</v>
      </c>
    </row>
    <row r="29" spans="1:12" s="39" customFormat="1" ht="54" customHeight="1" x14ac:dyDescent="0.25">
      <c r="A29" s="137" t="s">
        <v>149</v>
      </c>
      <c r="B29" s="4" t="s">
        <v>231</v>
      </c>
      <c r="C29" s="224" t="s">
        <v>301</v>
      </c>
      <c r="D29" s="224" t="s">
        <v>301</v>
      </c>
      <c r="E29" s="40" t="s">
        <v>288</v>
      </c>
      <c r="F29" s="40" t="s">
        <v>288</v>
      </c>
      <c r="G29" s="41" t="s">
        <v>301</v>
      </c>
      <c r="H29" s="41" t="s">
        <v>301</v>
      </c>
      <c r="I29" s="41" t="s">
        <v>301</v>
      </c>
      <c r="J29" s="41" t="s">
        <v>301</v>
      </c>
      <c r="K29" s="41" t="s">
        <v>301</v>
      </c>
      <c r="L29" s="41" t="s">
        <v>301</v>
      </c>
    </row>
    <row r="30" spans="1:12" s="39" customFormat="1" ht="63.75" customHeight="1" x14ac:dyDescent="0.25">
      <c r="A30" s="137" t="s">
        <v>148</v>
      </c>
      <c r="B30" s="4" t="s">
        <v>233</v>
      </c>
      <c r="C30" s="224" t="s">
        <v>301</v>
      </c>
      <c r="D30" s="224" t="s">
        <v>301</v>
      </c>
      <c r="E30" s="36"/>
      <c r="F30" s="36"/>
      <c r="G30" s="41" t="s">
        <v>301</v>
      </c>
      <c r="H30" s="41" t="s">
        <v>301</v>
      </c>
      <c r="I30" s="41" t="s">
        <v>301</v>
      </c>
      <c r="J30" s="41" t="s">
        <v>301</v>
      </c>
      <c r="K30" s="41" t="s">
        <v>301</v>
      </c>
      <c r="L30" s="41" t="s">
        <v>301</v>
      </c>
    </row>
    <row r="31" spans="1:12" s="39" customFormat="1" ht="54" customHeight="1" x14ac:dyDescent="0.25">
      <c r="A31" s="137" t="s">
        <v>147</v>
      </c>
      <c r="B31" s="98" t="s">
        <v>229</v>
      </c>
      <c r="C31" s="225">
        <v>44756</v>
      </c>
      <c r="D31" s="225">
        <v>44756</v>
      </c>
      <c r="E31" s="36"/>
      <c r="F31" s="36"/>
      <c r="G31" s="215">
        <v>44756</v>
      </c>
      <c r="H31" s="215">
        <v>44756</v>
      </c>
      <c r="I31" s="216">
        <v>1</v>
      </c>
      <c r="J31" s="41" t="s">
        <v>301</v>
      </c>
      <c r="K31" s="41" t="s">
        <v>301</v>
      </c>
      <c r="L31" s="41" t="s">
        <v>301</v>
      </c>
    </row>
    <row r="32" spans="1:12" s="39" customFormat="1" ht="31.5" x14ac:dyDescent="0.25">
      <c r="A32" s="137" t="s">
        <v>145</v>
      </c>
      <c r="B32" s="98" t="s">
        <v>234</v>
      </c>
      <c r="C32" s="225">
        <v>44925</v>
      </c>
      <c r="D32" s="225">
        <v>44925</v>
      </c>
      <c r="E32" s="36"/>
      <c r="F32" s="36"/>
      <c r="G32" s="215">
        <v>44925</v>
      </c>
      <c r="H32" s="215">
        <v>44925</v>
      </c>
      <c r="I32" s="216">
        <v>1</v>
      </c>
      <c r="J32" s="41" t="s">
        <v>301</v>
      </c>
      <c r="K32" s="41" t="s">
        <v>301</v>
      </c>
      <c r="L32" s="41" t="s">
        <v>301</v>
      </c>
    </row>
    <row r="33" spans="1:12" s="39" customFormat="1" ht="41.25" customHeight="1" x14ac:dyDescent="0.25">
      <c r="A33" s="137" t="s">
        <v>245</v>
      </c>
      <c r="B33" s="98" t="s">
        <v>172</v>
      </c>
      <c r="C33" s="225">
        <v>45079</v>
      </c>
      <c r="D33" s="225">
        <v>45079</v>
      </c>
      <c r="E33" s="36"/>
      <c r="F33" s="36"/>
      <c r="G33" s="215">
        <v>45079</v>
      </c>
      <c r="H33" s="215">
        <v>45079</v>
      </c>
      <c r="I33" s="216">
        <v>1</v>
      </c>
      <c r="J33" s="41" t="s">
        <v>301</v>
      </c>
      <c r="K33" s="41" t="s">
        <v>301</v>
      </c>
      <c r="L33" s="41" t="s">
        <v>301</v>
      </c>
    </row>
    <row r="34" spans="1:12" s="39" customFormat="1" ht="47.25" customHeight="1" x14ac:dyDescent="0.25">
      <c r="A34" s="137" t="s">
        <v>246</v>
      </c>
      <c r="B34" s="98" t="s">
        <v>238</v>
      </c>
      <c r="C34" s="224" t="s">
        <v>301</v>
      </c>
      <c r="D34" s="224" t="s">
        <v>301</v>
      </c>
      <c r="E34" s="40" t="s">
        <v>288</v>
      </c>
      <c r="F34" s="40" t="s">
        <v>288</v>
      </c>
      <c r="G34" s="41" t="s">
        <v>301</v>
      </c>
      <c r="H34" s="41" t="s">
        <v>301</v>
      </c>
      <c r="I34" s="41" t="s">
        <v>301</v>
      </c>
      <c r="J34" s="41" t="s">
        <v>301</v>
      </c>
      <c r="K34" s="41" t="s">
        <v>301</v>
      </c>
      <c r="L34" s="41" t="s">
        <v>301</v>
      </c>
    </row>
    <row r="35" spans="1:12" s="39" customFormat="1" ht="49.5" customHeight="1" x14ac:dyDescent="0.25">
      <c r="A35" s="137" t="s">
        <v>247</v>
      </c>
      <c r="B35" s="98" t="s">
        <v>146</v>
      </c>
      <c r="C35" s="225">
        <v>45097</v>
      </c>
      <c r="D35" s="225">
        <v>45097</v>
      </c>
      <c r="E35" s="42"/>
      <c r="F35" s="42"/>
      <c r="G35" s="215">
        <v>45097</v>
      </c>
      <c r="H35" s="215">
        <v>45097</v>
      </c>
      <c r="I35" s="216">
        <v>1</v>
      </c>
      <c r="J35" s="41" t="s">
        <v>301</v>
      </c>
      <c r="K35" s="41" t="s">
        <v>301</v>
      </c>
      <c r="L35" s="41" t="s">
        <v>301</v>
      </c>
    </row>
    <row r="36" spans="1:12" s="38" customFormat="1" ht="37.5" customHeight="1" x14ac:dyDescent="0.25">
      <c r="A36" s="137" t="s">
        <v>248</v>
      </c>
      <c r="B36" s="98" t="s">
        <v>230</v>
      </c>
      <c r="C36" s="226">
        <v>45117</v>
      </c>
      <c r="D36" s="226">
        <v>45117</v>
      </c>
      <c r="E36" s="40">
        <v>42884</v>
      </c>
      <c r="F36" s="40">
        <v>42884</v>
      </c>
      <c r="G36" s="217">
        <v>45117</v>
      </c>
      <c r="H36" s="217">
        <v>45117</v>
      </c>
      <c r="I36" s="216">
        <v>1</v>
      </c>
      <c r="J36" s="41" t="s">
        <v>301</v>
      </c>
      <c r="K36" s="41" t="s">
        <v>301</v>
      </c>
      <c r="L36" s="41" t="s">
        <v>301</v>
      </c>
    </row>
    <row r="37" spans="1:12" s="38" customFormat="1" ht="27" customHeight="1" x14ac:dyDescent="0.25">
      <c r="A37" s="137" t="s">
        <v>249</v>
      </c>
      <c r="B37" s="98" t="s">
        <v>144</v>
      </c>
      <c r="C37" s="225">
        <v>44756</v>
      </c>
      <c r="D37" s="225">
        <v>44925</v>
      </c>
      <c r="E37" s="43"/>
      <c r="F37" s="42"/>
      <c r="G37" s="215">
        <v>44756</v>
      </c>
      <c r="H37" s="215">
        <v>44925</v>
      </c>
      <c r="I37" s="216">
        <v>1</v>
      </c>
      <c r="J37" s="41" t="s">
        <v>301</v>
      </c>
      <c r="K37" s="41" t="s">
        <v>301</v>
      </c>
      <c r="L37" s="41" t="s">
        <v>301</v>
      </c>
    </row>
    <row r="38" spans="1:12" s="38" customFormat="1" ht="30.75" customHeight="1" x14ac:dyDescent="0.25">
      <c r="A38" s="137" t="s">
        <v>250</v>
      </c>
      <c r="B38" s="97" t="s">
        <v>143</v>
      </c>
      <c r="C38" s="224"/>
      <c r="D38" s="224"/>
      <c r="E38" s="4"/>
      <c r="F38" s="4"/>
      <c r="G38" s="41"/>
      <c r="H38" s="41"/>
      <c r="I38" s="41" t="s">
        <v>301</v>
      </c>
      <c r="J38" s="41"/>
      <c r="K38" s="4"/>
      <c r="L38" s="4"/>
    </row>
    <row r="39" spans="1:12" s="38" customFormat="1" ht="78.75" x14ac:dyDescent="0.25">
      <c r="A39" s="137">
        <v>2</v>
      </c>
      <c r="B39" s="98" t="s">
        <v>235</v>
      </c>
      <c r="C39" s="225">
        <v>45275</v>
      </c>
      <c r="D39" s="225">
        <v>45275</v>
      </c>
      <c r="E39" s="4"/>
      <c r="F39" s="4"/>
      <c r="G39" s="215">
        <v>45275</v>
      </c>
      <c r="H39" s="215">
        <v>45275</v>
      </c>
      <c r="I39" s="218">
        <v>1</v>
      </c>
      <c r="J39" s="41" t="s">
        <v>301</v>
      </c>
      <c r="K39" s="41" t="s">
        <v>301</v>
      </c>
      <c r="L39" s="41" t="s">
        <v>301</v>
      </c>
    </row>
    <row r="40" spans="1:12" s="38" customFormat="1" ht="33.75" customHeight="1" x14ac:dyDescent="0.25">
      <c r="A40" s="137" t="s">
        <v>142</v>
      </c>
      <c r="B40" s="98" t="s">
        <v>237</v>
      </c>
      <c r="C40" s="225">
        <v>45280</v>
      </c>
      <c r="D40" s="225">
        <v>45406</v>
      </c>
      <c r="E40" s="4"/>
      <c r="F40" s="4"/>
      <c r="G40" s="215">
        <v>45280</v>
      </c>
      <c r="H40" s="41" t="s">
        <v>301</v>
      </c>
      <c r="I40" s="41" t="s">
        <v>301</v>
      </c>
      <c r="J40" s="41" t="s">
        <v>301</v>
      </c>
      <c r="K40" s="41" t="s">
        <v>301</v>
      </c>
      <c r="L40" s="41" t="s">
        <v>301</v>
      </c>
    </row>
    <row r="41" spans="1:12" s="38" customFormat="1" ht="63" customHeight="1" x14ac:dyDescent="0.25">
      <c r="A41" s="137" t="s">
        <v>141</v>
      </c>
      <c r="B41" s="97" t="s">
        <v>286</v>
      </c>
      <c r="C41" s="224"/>
      <c r="D41" s="224"/>
      <c r="E41" s="4"/>
      <c r="F41" s="4"/>
      <c r="G41" s="41"/>
      <c r="H41" s="41"/>
      <c r="I41" s="41" t="s">
        <v>301</v>
      </c>
      <c r="J41" s="41"/>
      <c r="K41" s="4"/>
      <c r="L41" s="4"/>
    </row>
    <row r="42" spans="1:12" s="38" customFormat="1" ht="58.5" customHeight="1" x14ac:dyDescent="0.25">
      <c r="A42" s="137">
        <v>3</v>
      </c>
      <c r="B42" s="98" t="s">
        <v>236</v>
      </c>
      <c r="C42" s="225">
        <v>45280</v>
      </c>
      <c r="D42" s="225">
        <v>45472</v>
      </c>
      <c r="E42" s="4"/>
      <c r="F42" s="4"/>
      <c r="G42" s="215">
        <v>45280</v>
      </c>
      <c r="H42" s="41" t="s">
        <v>301</v>
      </c>
      <c r="I42" s="41" t="s">
        <v>301</v>
      </c>
      <c r="J42" s="41" t="s">
        <v>301</v>
      </c>
      <c r="K42" s="41" t="s">
        <v>301</v>
      </c>
      <c r="L42" s="41" t="s">
        <v>301</v>
      </c>
    </row>
    <row r="43" spans="1:12" s="38" customFormat="1" ht="34.5" customHeight="1" x14ac:dyDescent="0.25">
      <c r="A43" s="137" t="s">
        <v>140</v>
      </c>
      <c r="B43" s="98" t="s">
        <v>138</v>
      </c>
      <c r="C43" s="225">
        <v>45285</v>
      </c>
      <c r="D43" s="225">
        <v>45580</v>
      </c>
      <c r="E43" s="4"/>
      <c r="F43" s="4"/>
      <c r="G43" s="41" t="s">
        <v>301</v>
      </c>
      <c r="H43" s="41" t="s">
        <v>301</v>
      </c>
      <c r="I43" s="41" t="s">
        <v>301</v>
      </c>
      <c r="J43" s="41" t="s">
        <v>301</v>
      </c>
      <c r="K43" s="41" t="s">
        <v>301</v>
      </c>
      <c r="L43" s="41" t="s">
        <v>301</v>
      </c>
    </row>
    <row r="44" spans="1:12" s="38" customFormat="1" ht="24.75" customHeight="1" x14ac:dyDescent="0.25">
      <c r="A44" s="137" t="s">
        <v>139</v>
      </c>
      <c r="B44" s="98" t="s">
        <v>136</v>
      </c>
      <c r="C44" s="225">
        <v>45076</v>
      </c>
      <c r="D44" s="225">
        <v>45618</v>
      </c>
      <c r="E44" s="4"/>
      <c r="F44" s="4"/>
      <c r="G44" s="41" t="s">
        <v>301</v>
      </c>
      <c r="H44" s="41" t="s">
        <v>301</v>
      </c>
      <c r="I44" s="41" t="s">
        <v>301</v>
      </c>
      <c r="J44" s="41" t="s">
        <v>301</v>
      </c>
      <c r="K44" s="41" t="s">
        <v>301</v>
      </c>
      <c r="L44" s="41" t="s">
        <v>301</v>
      </c>
    </row>
    <row r="45" spans="1:12" s="38" customFormat="1" ht="90.75" customHeight="1" x14ac:dyDescent="0.25">
      <c r="A45" s="137" t="s">
        <v>137</v>
      </c>
      <c r="B45" s="98" t="s">
        <v>241</v>
      </c>
      <c r="C45" s="226">
        <v>45643</v>
      </c>
      <c r="D45" s="226">
        <v>45643</v>
      </c>
      <c r="E45" s="40" t="s">
        <v>288</v>
      </c>
      <c r="F45" s="40" t="s">
        <v>288</v>
      </c>
      <c r="G45" s="41" t="s">
        <v>301</v>
      </c>
      <c r="H45" s="41" t="s">
        <v>301</v>
      </c>
      <c r="I45" s="41" t="s">
        <v>301</v>
      </c>
      <c r="J45" s="41" t="s">
        <v>301</v>
      </c>
      <c r="K45" s="41" t="s">
        <v>301</v>
      </c>
      <c r="L45" s="41" t="s">
        <v>301</v>
      </c>
    </row>
    <row r="46" spans="1:12" s="38" customFormat="1" ht="167.25" customHeight="1" x14ac:dyDescent="0.25">
      <c r="A46" s="137" t="s">
        <v>135</v>
      </c>
      <c r="B46" s="98" t="s">
        <v>239</v>
      </c>
      <c r="C46" s="225">
        <v>45651</v>
      </c>
      <c r="D46" s="225">
        <v>45651</v>
      </c>
      <c r="E46" s="40" t="s">
        <v>288</v>
      </c>
      <c r="F46" s="40" t="s">
        <v>288</v>
      </c>
      <c r="G46" s="41" t="s">
        <v>301</v>
      </c>
      <c r="H46" s="41" t="s">
        <v>301</v>
      </c>
      <c r="I46" s="41" t="s">
        <v>301</v>
      </c>
      <c r="J46" s="41" t="s">
        <v>301</v>
      </c>
      <c r="K46" s="41" t="s">
        <v>301</v>
      </c>
      <c r="L46" s="41" t="s">
        <v>301</v>
      </c>
    </row>
    <row r="47" spans="1:12" s="38" customFormat="1" ht="30.75" customHeight="1" x14ac:dyDescent="0.25">
      <c r="A47" s="137" t="s">
        <v>133</v>
      </c>
      <c r="B47" s="98" t="s">
        <v>134</v>
      </c>
      <c r="C47" s="225">
        <v>45631</v>
      </c>
      <c r="D47" s="225">
        <v>45646</v>
      </c>
      <c r="E47" s="4"/>
      <c r="F47" s="4"/>
      <c r="G47" s="41" t="s">
        <v>301</v>
      </c>
      <c r="H47" s="41" t="s">
        <v>301</v>
      </c>
      <c r="I47" s="41" t="s">
        <v>301</v>
      </c>
      <c r="J47" s="41" t="s">
        <v>301</v>
      </c>
      <c r="K47" s="41" t="s">
        <v>301</v>
      </c>
      <c r="L47" s="41" t="s">
        <v>301</v>
      </c>
    </row>
    <row r="48" spans="1:12" s="38" customFormat="1" ht="37.5" customHeight="1" x14ac:dyDescent="0.25">
      <c r="A48" s="137" t="s">
        <v>251</v>
      </c>
      <c r="B48" s="97" t="s">
        <v>132</v>
      </c>
      <c r="C48" s="224"/>
      <c r="D48" s="224"/>
      <c r="E48" s="4"/>
      <c r="F48" s="4"/>
      <c r="G48" s="41"/>
      <c r="H48" s="41"/>
      <c r="I48" s="41" t="s">
        <v>301</v>
      </c>
      <c r="J48" s="41"/>
      <c r="K48" s="4"/>
      <c r="L48" s="4"/>
    </row>
    <row r="49" spans="1:12" s="38" customFormat="1" ht="35.25" customHeight="1" x14ac:dyDescent="0.25">
      <c r="A49" s="137">
        <v>4</v>
      </c>
      <c r="B49" s="98" t="s">
        <v>130</v>
      </c>
      <c r="C49" s="225">
        <v>45651</v>
      </c>
      <c r="D49" s="227">
        <v>45651</v>
      </c>
      <c r="E49" s="4"/>
      <c r="F49" s="4"/>
      <c r="G49" s="41" t="s">
        <v>301</v>
      </c>
      <c r="H49" s="41" t="s">
        <v>301</v>
      </c>
      <c r="I49" s="41" t="s">
        <v>301</v>
      </c>
      <c r="J49" s="41" t="s">
        <v>301</v>
      </c>
      <c r="K49" s="41" t="s">
        <v>301</v>
      </c>
      <c r="L49" s="41" t="s">
        <v>301</v>
      </c>
    </row>
    <row r="50" spans="1:12" s="38" customFormat="1" ht="86.25" customHeight="1" x14ac:dyDescent="0.25">
      <c r="A50" s="137" t="s">
        <v>131</v>
      </c>
      <c r="B50" s="98" t="s">
        <v>240</v>
      </c>
      <c r="C50" s="225">
        <v>45747</v>
      </c>
      <c r="D50" s="225">
        <v>45747</v>
      </c>
      <c r="E50" s="41" t="s">
        <v>301</v>
      </c>
      <c r="F50" s="41" t="s">
        <v>301</v>
      </c>
      <c r="G50" s="41" t="s">
        <v>301</v>
      </c>
      <c r="H50" s="41" t="s">
        <v>301</v>
      </c>
      <c r="I50" s="41" t="s">
        <v>301</v>
      </c>
      <c r="J50" s="41" t="s">
        <v>301</v>
      </c>
      <c r="K50" s="41" t="s">
        <v>301</v>
      </c>
      <c r="L50" s="41" t="s">
        <v>301</v>
      </c>
    </row>
    <row r="51" spans="1:12" s="38" customFormat="1" ht="77.25" customHeight="1" x14ac:dyDescent="0.25">
      <c r="A51" s="137" t="s">
        <v>129</v>
      </c>
      <c r="B51" s="98" t="s">
        <v>242</v>
      </c>
      <c r="C51" s="225">
        <v>45652</v>
      </c>
      <c r="D51" s="225">
        <v>45652</v>
      </c>
      <c r="E51" s="40" t="s">
        <v>288</v>
      </c>
      <c r="F51" s="40" t="s">
        <v>288</v>
      </c>
      <c r="G51" s="41" t="s">
        <v>301</v>
      </c>
      <c r="H51" s="41" t="s">
        <v>301</v>
      </c>
      <c r="I51" s="41" t="s">
        <v>301</v>
      </c>
      <c r="J51" s="41" t="s">
        <v>301</v>
      </c>
      <c r="K51" s="41" t="s">
        <v>301</v>
      </c>
      <c r="L51" s="41" t="s">
        <v>301</v>
      </c>
    </row>
    <row r="52" spans="1:12" s="38" customFormat="1" ht="71.25" customHeight="1" x14ac:dyDescent="0.25">
      <c r="A52" s="137" t="s">
        <v>127</v>
      </c>
      <c r="B52" s="98" t="s">
        <v>128</v>
      </c>
      <c r="C52" s="225">
        <v>45656</v>
      </c>
      <c r="D52" s="225">
        <v>45656</v>
      </c>
      <c r="E52" s="40" t="s">
        <v>288</v>
      </c>
      <c r="F52" s="40" t="s">
        <v>288</v>
      </c>
      <c r="G52" s="41" t="s">
        <v>301</v>
      </c>
      <c r="H52" s="41" t="s">
        <v>301</v>
      </c>
      <c r="I52" s="41" t="s">
        <v>301</v>
      </c>
      <c r="J52" s="41" t="s">
        <v>301</v>
      </c>
      <c r="K52" s="41" t="s">
        <v>301</v>
      </c>
      <c r="L52" s="41" t="s">
        <v>301</v>
      </c>
    </row>
    <row r="53" spans="1:12" s="38" customFormat="1" ht="48" customHeight="1" x14ac:dyDescent="0.25">
      <c r="A53" s="137" t="s">
        <v>125</v>
      </c>
      <c r="B53" s="38" t="s">
        <v>243</v>
      </c>
      <c r="C53" s="225">
        <v>45747</v>
      </c>
      <c r="D53" s="225">
        <v>45747</v>
      </c>
      <c r="E53" s="41" t="s">
        <v>301</v>
      </c>
      <c r="F53" s="41" t="s">
        <v>301</v>
      </c>
      <c r="G53" s="41" t="s">
        <v>301</v>
      </c>
      <c r="H53" s="41" t="s">
        <v>301</v>
      </c>
      <c r="I53" s="41" t="s">
        <v>301</v>
      </c>
      <c r="J53" s="41" t="s">
        <v>301</v>
      </c>
      <c r="K53" s="41" t="s">
        <v>301</v>
      </c>
      <c r="L53" s="41" t="s">
        <v>301</v>
      </c>
    </row>
    <row r="54" spans="1:12" s="38" customFormat="1" ht="46.5" customHeight="1" x14ac:dyDescent="0.25">
      <c r="A54" s="137" t="s">
        <v>244</v>
      </c>
      <c r="B54" s="98" t="s">
        <v>126</v>
      </c>
      <c r="C54" s="225">
        <v>45747</v>
      </c>
      <c r="D54" s="225">
        <v>45747</v>
      </c>
      <c r="E54" s="4">
        <v>43458</v>
      </c>
      <c r="F54" s="4">
        <v>43458</v>
      </c>
      <c r="G54" s="41" t="s">
        <v>301</v>
      </c>
      <c r="H54" s="41" t="s">
        <v>301</v>
      </c>
      <c r="I54" s="41" t="s">
        <v>301</v>
      </c>
      <c r="J54" s="41" t="s">
        <v>301</v>
      </c>
      <c r="K54" s="41" t="s">
        <v>301</v>
      </c>
      <c r="L54" s="41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2025-03-13T07:12:41Z</dcterms:modified>
</cp:coreProperties>
</file>