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30" i="22" l="1"/>
  <c r="B43" i="22" l="1"/>
  <c r="H37" i="16" l="1"/>
  <c r="G37" i="16"/>
  <c r="X27" i="5"/>
  <c r="L26" i="5"/>
  <c r="C63" i="22" l="1"/>
  <c r="C61" i="22"/>
  <c r="A5" i="7" l="1"/>
  <c r="B29" i="22" l="1"/>
  <c r="T25" i="5" l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A12" i="16" l="1"/>
  <c r="A11" i="15" l="1"/>
  <c r="A12" i="5" l="1"/>
  <c r="A12" i="22"/>
  <c r="B22" i="22" l="1"/>
  <c r="B80" i="22"/>
  <c r="B23" i="22" l="1"/>
  <c r="D22" i="24" l="1"/>
  <c r="C57" i="15" l="1"/>
  <c r="C48" i="15"/>
  <c r="C39" i="15"/>
  <c r="H28" i="15"/>
  <c r="G61" i="15"/>
  <c r="G64" i="15"/>
  <c r="G54" i="15"/>
  <c r="E54" i="15" s="1"/>
  <c r="G45" i="15"/>
  <c r="E45" i="15" s="1"/>
  <c r="G36" i="15"/>
  <c r="E36" i="15" s="1"/>
  <c r="J26" i="15"/>
  <c r="G46" i="15"/>
  <c r="E46" i="15" s="1"/>
  <c r="G30" i="15"/>
  <c r="C36" i="15"/>
  <c r="C55" i="15"/>
  <c r="C46" i="15"/>
  <c r="C37" i="15"/>
  <c r="G27" i="15"/>
  <c r="G57" i="15"/>
  <c r="E57" i="15" s="1"/>
  <c r="G62" i="15"/>
  <c r="G52" i="15"/>
  <c r="E52" i="15" s="1"/>
  <c r="G42" i="15"/>
  <c r="E42" i="15" s="1"/>
  <c r="G33" i="15"/>
  <c r="E33" i="15" s="1"/>
  <c r="H25" i="15"/>
  <c r="G44" i="15"/>
  <c r="E44" i="15" s="1"/>
  <c r="H27" i="15"/>
  <c r="I27" i="15" s="1"/>
  <c r="C52" i="15"/>
  <c r="C33" i="15"/>
  <c r="G25" i="15"/>
  <c r="D25" i="15" s="1"/>
  <c r="C30" i="15"/>
  <c r="C49" i="7" s="1"/>
  <c r="C53" i="15"/>
  <c r="C44" i="15"/>
  <c r="C34" i="15"/>
  <c r="J25" i="15"/>
  <c r="G55" i="15"/>
  <c r="E55" i="15" s="1"/>
  <c r="G60" i="15"/>
  <c r="G49" i="15"/>
  <c r="E49" i="15" s="1"/>
  <c r="G40" i="15"/>
  <c r="E40" i="15" s="1"/>
  <c r="G31" i="15"/>
  <c r="E31" i="15" s="1"/>
  <c r="G53" i="15"/>
  <c r="E53" i="15" s="1"/>
  <c r="G39" i="15"/>
  <c r="E39" i="15" s="1"/>
  <c r="G24" i="15"/>
  <c r="C49" i="15"/>
  <c r="C40" i="15"/>
  <c r="C31" i="15"/>
  <c r="G48" i="15"/>
  <c r="E48" i="15" s="1"/>
  <c r="G26" i="15"/>
  <c r="D26" i="15" s="1"/>
  <c r="C50" i="15"/>
  <c r="C41" i="15"/>
  <c r="C32" i="15"/>
  <c r="G63" i="15"/>
  <c r="G32" i="15"/>
  <c r="E32" i="15" s="1"/>
  <c r="G56" i="15"/>
  <c r="E56" i="15" s="1"/>
  <c r="G47" i="15"/>
  <c r="E47" i="15" s="1"/>
  <c r="G38" i="15"/>
  <c r="E38" i="15" s="1"/>
  <c r="G28" i="15"/>
  <c r="G50" i="15"/>
  <c r="E50" i="15" s="1"/>
  <c r="G37" i="15"/>
  <c r="E37" i="15" s="1"/>
  <c r="C56" i="15"/>
  <c r="C47" i="15"/>
  <c r="C38" i="15"/>
  <c r="G29" i="15"/>
  <c r="G41" i="15"/>
  <c r="E41" i="15" s="1"/>
  <c r="C54" i="15"/>
  <c r="C45" i="15"/>
  <c r="H26" i="15"/>
  <c r="G34" i="15"/>
  <c r="C42" i="15"/>
  <c r="E28" i="15" l="1"/>
  <c r="C28" i="15"/>
  <c r="C25" i="15"/>
  <c r="I25" i="15"/>
  <c r="I26" i="15"/>
  <c r="C26" i="15"/>
  <c r="E29" i="15"/>
  <c r="K25" i="15"/>
  <c r="F25" i="15"/>
  <c r="E25" i="15" s="1"/>
  <c r="F26" i="15"/>
  <c r="E26" i="15" s="1"/>
  <c r="K26" i="15"/>
  <c r="A15" i="7" l="1"/>
  <c r="A16" i="25" l="1"/>
  <c r="A15" i="6"/>
  <c r="A15" i="16" s="1"/>
  <c r="A14" i="15" s="1"/>
  <c r="A16" i="28"/>
  <c r="B21" i="22"/>
  <c r="A15" i="26"/>
  <c r="A14" i="27"/>
  <c r="A15" i="23"/>
  <c r="A14" i="24"/>
  <c r="A15" i="22" l="1"/>
  <c r="A15" i="5"/>
  <c r="I30" i="15" l="1"/>
  <c r="B25" i="22" l="1"/>
  <c r="E30" i="15" l="1"/>
  <c r="F30" i="15"/>
  <c r="F34" i="15" s="1"/>
  <c r="E34" i="15" s="1"/>
  <c r="K24" i="15" l="1"/>
  <c r="J27" i="15" l="1"/>
  <c r="K27" i="15" s="1"/>
  <c r="D24" i="15" l="1"/>
  <c r="B61" i="22" s="1"/>
  <c r="D61" i="22" s="1"/>
  <c r="J24" i="15" l="1"/>
  <c r="D27" i="15" s="1"/>
  <c r="J28" i="15" l="1"/>
  <c r="J29" i="15"/>
  <c r="K29" i="15" l="1"/>
  <c r="D29" i="15"/>
  <c r="K28" i="15"/>
  <c r="D28" i="15"/>
  <c r="D30" i="15" l="1"/>
  <c r="B63" i="22" l="1"/>
  <c r="D33" i="15"/>
  <c r="D63" i="22" l="1"/>
  <c r="B62" i="22"/>
  <c r="D46" i="15" l="1"/>
  <c r="D38" i="15"/>
  <c r="D55" i="15"/>
  <c r="D52" i="15" l="1"/>
  <c r="D54" i="15" l="1"/>
  <c r="D37" i="15"/>
  <c r="D45" i="15"/>
  <c r="D57" i="15"/>
  <c r="D42" i="15"/>
  <c r="D50" i="15"/>
  <c r="D56" i="15"/>
  <c r="D47" i="15"/>
  <c r="D39" i="15"/>
  <c r="H30" i="15" l="1"/>
  <c r="H24" i="15" l="1"/>
  <c r="E24" i="15" l="1"/>
  <c r="F24" i="15"/>
  <c r="F27" i="15" s="1"/>
  <c r="E27" i="15" s="1"/>
  <c r="I28" i="15"/>
  <c r="H29" i="15"/>
  <c r="C24" i="15"/>
  <c r="I24" i="15"/>
  <c r="C48" i="7" l="1"/>
  <c r="B27" i="22"/>
  <c r="C29" i="15"/>
  <c r="C27" i="15" s="1"/>
  <c r="I29" i="15"/>
  <c r="B34" i="22" l="1"/>
  <c r="B44" i="22"/>
  <c r="B60" i="22"/>
  <c r="B49" i="22"/>
  <c r="B56" i="22" s="1"/>
  <c r="B54" i="22"/>
  <c r="B52" i="22" l="1"/>
  <c r="K63" i="15"/>
  <c r="K61" i="15"/>
  <c r="J63" i="15" l="1"/>
  <c r="D63" i="15" s="1"/>
  <c r="J61" i="15"/>
  <c r="D61" i="15" s="1"/>
  <c r="I60" i="15"/>
  <c r="K62" i="15"/>
  <c r="I62" i="15"/>
  <c r="K64" i="15" l="1"/>
  <c r="K60" i="15"/>
  <c r="J60" i="15"/>
  <c r="D60" i="15" s="1"/>
  <c r="J62" i="15"/>
  <c r="D62" i="15" s="1"/>
  <c r="C63" i="15" l="1"/>
  <c r="F63" i="15" s="1"/>
  <c r="E63" i="15" s="1"/>
  <c r="H60" i="15"/>
  <c r="C61" i="15"/>
  <c r="F61" i="15" s="1"/>
  <c r="E61" i="15" s="1"/>
  <c r="H62" i="15"/>
  <c r="J64" i="15"/>
  <c r="D64" i="15" s="1"/>
  <c r="J49" i="15" l="1"/>
  <c r="J41" i="15"/>
  <c r="K41" i="15"/>
  <c r="K49" i="15"/>
  <c r="K40" i="15"/>
  <c r="K48" i="15"/>
  <c r="K39" i="15"/>
  <c r="K47" i="15"/>
  <c r="H47" i="15"/>
  <c r="H39" i="15"/>
  <c r="H49" i="15"/>
  <c r="H41" i="15"/>
  <c r="J40" i="15"/>
  <c r="J48" i="15"/>
  <c r="H48" i="15"/>
  <c r="H40" i="15"/>
  <c r="I41" i="15" l="1"/>
  <c r="I49" i="15"/>
  <c r="I48" i="15"/>
  <c r="I40" i="15"/>
  <c r="I39" i="15"/>
  <c r="I47" i="15"/>
  <c r="K30" i="15" l="1"/>
  <c r="J31" i="15"/>
  <c r="K31" i="15" s="1"/>
  <c r="J33" i="15"/>
  <c r="K33" i="15" s="1"/>
  <c r="J32" i="15"/>
  <c r="K32" i="15" s="1"/>
  <c r="J34" i="15"/>
  <c r="K34" i="15" s="1"/>
  <c r="J52" i="15" l="1"/>
  <c r="K52" i="15"/>
  <c r="K56" i="15"/>
  <c r="J56" i="15"/>
  <c r="I52" i="15"/>
  <c r="I56" i="15"/>
  <c r="H52" i="15"/>
  <c r="H56" i="15"/>
  <c r="I36" i="15" l="1"/>
  <c r="I53" i="15"/>
  <c r="I44" i="15"/>
  <c r="J37" i="15"/>
  <c r="J45" i="15"/>
  <c r="J54" i="15"/>
  <c r="J57" i="15"/>
  <c r="J50" i="15"/>
  <c r="J53" i="15"/>
  <c r="J36" i="15"/>
  <c r="J44" i="15"/>
  <c r="H57" i="15"/>
  <c r="H50" i="15"/>
  <c r="H55" i="15"/>
  <c r="H38" i="15"/>
  <c r="H46" i="15"/>
  <c r="I50" i="15"/>
  <c r="I57" i="15"/>
  <c r="J38" i="15"/>
  <c r="J46" i="15"/>
  <c r="J55" i="15"/>
  <c r="K44" i="15"/>
  <c r="K36" i="15"/>
  <c r="K53" i="15"/>
  <c r="I55" i="15"/>
  <c r="I46" i="15"/>
  <c r="I38" i="15"/>
  <c r="H36" i="15"/>
  <c r="H53" i="15"/>
  <c r="H44" i="15"/>
  <c r="H54" i="15"/>
  <c r="H37" i="15"/>
  <c r="H45" i="15"/>
  <c r="I45" i="15"/>
  <c r="I37" i="15"/>
  <c r="I54" i="15"/>
  <c r="K38" i="15"/>
  <c r="K46" i="15"/>
  <c r="K55" i="15"/>
  <c r="K50" i="15"/>
  <c r="K57" i="15"/>
  <c r="K54" i="15"/>
  <c r="K37" i="15"/>
  <c r="K45" i="15"/>
  <c r="J42" i="15"/>
  <c r="K42" i="15"/>
  <c r="I42" i="15"/>
  <c r="H42" i="15"/>
  <c r="I61" i="15" l="1"/>
  <c r="I64" i="15"/>
  <c r="H61" i="15"/>
  <c r="C60" i="15" l="1"/>
  <c r="F60" i="15" s="1"/>
  <c r="E60" i="15" s="1"/>
  <c r="C64" i="15" l="1"/>
  <c r="F64" i="15" s="1"/>
  <c r="E64" i="15" s="1"/>
  <c r="H64" i="15"/>
  <c r="J47" i="15" l="1"/>
  <c r="J39" i="15"/>
  <c r="J30" i="15" l="1"/>
  <c r="I63" i="15" l="1"/>
  <c r="C62" i="15" l="1"/>
  <c r="F62" i="15" s="1"/>
  <c r="E62" i="15" s="1"/>
  <c r="H63" i="15"/>
</calcChain>
</file>

<file path=xl/sharedStrings.xml><?xml version="1.0" encoding="utf-8"?>
<sst xmlns="http://schemas.openxmlformats.org/spreadsheetml/2006/main" count="1160" uniqueCount="520">
  <si>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</si>
  <si>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</si>
  <si>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</si>
  <si>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</si>
  <si>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</si>
  <si>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</si>
  <si>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</si>
  <si>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</si>
  <si>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</si>
  <si>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</si>
  <si>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</si>
  <si>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</si>
  <si>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</si>
  <si>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</si>
  <si>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</si>
  <si>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</si>
  <si>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</si>
  <si>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</si>
  <si>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</si>
  <si>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</si>
  <si>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</si>
  <si>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</si>
  <si>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</si>
  <si>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</si>
  <si>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</si>
  <si>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</si>
  <si>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</si>
  <si>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</si>
  <si>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</si>
  <si>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</si>
  <si>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</si>
  <si>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</si>
  <si>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</si>
  <si>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</si>
  <si>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</si>
  <si>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</si>
  <si>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</si>
  <si>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</si>
  <si>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</si>
  <si>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</si>
  <si>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</si>
  <si>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</si>
  <si>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</si>
  <si>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</si>
  <si>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</si>
  <si>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</si>
  <si>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</si>
  <si>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</si>
  <si>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</si>
  <si>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</si>
  <si>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</si>
  <si>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</si>
  <si>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</si>
  <si>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</si>
  <si>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</si>
  <si>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</si>
  <si>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</si>
  <si>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</si>
  <si>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</si>
  <si>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</si>
  <si>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</si>
  <si>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</si>
  <si>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</si>
  <si>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</si>
  <si>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</si>
  <si>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</si>
  <si>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</si>
  <si>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</si>
  <si>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</si>
  <si>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</si>
  <si>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</si>
  <si>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</si>
  <si>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</si>
  <si>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</si>
  <si>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</si>
  <si>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</si>
  <si>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</si>
  <si>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</si>
  <si>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</si>
  <si>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</si>
  <si>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</si>
  <si>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</si>
  <si>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</si>
  <si>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</si>
  <si>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</si>
  <si>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</si>
  <si>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</si>
  <si>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</si>
  <si>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</si>
  <si>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</si>
  <si>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</si>
  <si>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</si>
  <si>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</si>
  <si>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</si>
  <si>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</si>
  <si>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</si>
  <si>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</si>
  <si>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</si>
  <si>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</si>
  <si>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</si>
  <si>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</si>
  <si>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</si>
  <si>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</si>
  <si>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</si>
  <si>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</si>
  <si>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</si>
  <si>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</si>
  <si>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</si>
  <si>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</si>
  <si>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</si>
  <si>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</si>
  <si>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</si>
  <si>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</si>
  <si>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</si>
  <si>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</si>
  <si>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</si>
  <si>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</si>
  <si>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</si>
  <si>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</si>
  <si>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</si>
  <si>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</si>
  <si>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</si>
  <si>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</si>
  <si>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</si>
  <si>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</si>
  <si>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</si>
  <si>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</si>
  <si>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</si>
  <si>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</si>
  <si>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</si>
  <si>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</si>
  <si>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</si>
  <si>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</si>
  <si>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</si>
  <si>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</si>
  <si>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</si>
  <si>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</si>
  <si>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</si>
  <si>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</si>
  <si>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</si>
  <si>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</si>
  <si>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</si>
  <si>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</si>
  <si>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</si>
  <si>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</si>
  <si>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</si>
  <si>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</si>
  <si>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</si>
  <si>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</si>
  <si>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</si>
  <si>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</si>
  <si>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</si>
  <si>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</si>
  <si>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</si>
  <si>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</si>
  <si>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</si>
  <si>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</si>
  <si>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</si>
  <si>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</si>
  <si>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</si>
  <si>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</si>
  <si>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</si>
  <si>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</si>
  <si>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</si>
  <si>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</si>
  <si>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</si>
  <si>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</si>
  <si>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</si>
  <si>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</si>
  <si>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</si>
  <si>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</si>
  <si>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</si>
  <si>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</si>
  <si>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</si>
  <si>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</si>
  <si>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</si>
  <si>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</si>
  <si>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</si>
  <si>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</si>
  <si>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</si>
  <si>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</si>
  <si>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</si>
  <si>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</si>
  <si>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</si>
  <si>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</si>
  <si>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</si>
  <si>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</si>
  <si>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</si>
  <si>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</si>
  <si>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</si>
  <si>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</si>
  <si>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</si>
  <si>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</si>
  <si>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</si>
  <si>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</si>
  <si>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</si>
  <si>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</si>
  <si>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</si>
  <si>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</si>
  <si>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</si>
  <si>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</si>
  <si>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</si>
  <si>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</si>
  <si>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</si>
  <si>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</si>
  <si>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</si>
  <si>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</si>
  <si>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</si>
  <si>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</si>
  <si>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</si>
  <si>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</si>
  <si>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</si>
  <si>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</si>
  <si>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</si>
  <si>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</si>
  <si>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</si>
  <si>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</si>
  <si>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</si>
  <si>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</si>
  <si>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</si>
  <si>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</si>
  <si>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</si>
  <si>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</si>
  <si>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</si>
  <si>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</si>
  <si>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</si>
  <si>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</si>
  <si>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</si>
  <si>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</si>
  <si>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</si>
  <si>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</si>
  <si>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</si>
  <si>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</si>
  <si>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</si>
  <si>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</si>
  <si>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</si>
  <si>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</si>
  <si>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</si>
  <si>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</si>
  <si>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</si>
  <si>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</si>
  <si>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</si>
  <si>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</si>
  <si>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</si>
  <si>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</si>
  <si>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</si>
  <si>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</si>
  <si>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</si>
  <si>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</si>
  <si>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</si>
  <si>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</si>
  <si>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</si>
  <si>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</si>
  <si>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</si>
  <si>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</si>
  <si>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</si>
  <si>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</si>
  <si>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</si>
  <si>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</si>
  <si>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</si>
  <si>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</si>
  <si>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</si>
  <si>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</si>
  <si>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</si>
  <si>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</si>
  <si>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</si>
  <si>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</si>
  <si>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</si>
  <si>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</si>
  <si>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</si>
  <si>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</si>
  <si>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</si>
  <si>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</si>
  <si>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</si>
  <si>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</si>
  <si>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</si>
  <si>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</si>
  <si>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</si>
  <si>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</si>
  <si>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</si>
  <si>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</si>
  <si>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</si>
  <si>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</si>
  <si>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</si>
  <si>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</si>
  <si>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</si>
  <si>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</si>
  <si>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</si>
  <si>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</si>
  <si>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</si>
  <si>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</si>
  <si>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</si>
  <si>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</si>
  <si>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</si>
  <si>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</si>
  <si>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</si>
  <si>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</si>
  <si>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</si>
  <si>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</si>
  <si>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</si>
  <si>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</si>
  <si>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</si>
  <si>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</si>
  <si>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</si>
  <si>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</si>
  <si>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</si>
  <si>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</si>
  <si>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</si>
  <si>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</si>
  <si>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</si>
  <si>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</si>
  <si>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</si>
  <si>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</si>
  <si>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</si>
  <si>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</si>
  <si>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</si>
  <si>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</si>
  <si>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</si>
  <si>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</si>
  <si>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</si>
  <si>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</si>
  <si>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</si>
  <si>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</si>
  <si>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</si>
  <si>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</si>
  <si>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</si>
  <si>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</si>
  <si>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</si>
  <si>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</si>
  <si>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</si>
  <si>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</si>
  <si>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</si>
  <si>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</si>
  <si>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</si>
  <si>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</si>
  <si>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</si>
  <si>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</si>
  <si>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</si>
  <si>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</si>
  <si>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</si>
  <si>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</si>
  <si>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</si>
  <si>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</si>
  <si>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</si>
  <si>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</si>
  <si>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</si>
  <si>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</si>
  <si>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</si>
  <si>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</si>
  <si>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</si>
  <si>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</si>
  <si>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</si>
  <si>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</si>
  <si>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</si>
  <si>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</si>
  <si>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</si>
  <si>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</si>
  <si>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</si>
  <si>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</si>
  <si>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</si>
  <si>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</si>
  <si>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</si>
  <si>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</si>
  <si>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</si>
  <si>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</si>
  <si>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</si>
  <si>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</si>
  <si>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</si>
  <si>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</si>
  <si>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</si>
  <si>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</si>
  <si>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</si>
  <si>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</si>
  <si>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</si>
  <si>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</si>
  <si>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</si>
  <si>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</si>
  <si>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</si>
  <si>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</si>
  <si>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</si>
  <si>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</si>
  <si>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</si>
  <si>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</si>
  <si>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</si>
  <si>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</si>
  <si>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</si>
  <si>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</si>
  <si>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</si>
  <si>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</si>
  <si>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</si>
  <si>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</si>
  <si>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</si>
  <si>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</si>
  <si>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</si>
  <si>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</si>
  <si>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</si>
  <si>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</si>
  <si>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</si>
  <si>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</si>
  <si>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</si>
  <si>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</si>
  <si>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</si>
  <si>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</si>
  <si>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</si>
  <si>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</si>
  <si>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</si>
  <si>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</si>
  <si>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</si>
  <si>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</si>
  <si>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</si>
  <si>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</si>
  <si>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</si>
  <si>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</si>
  <si>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</si>
  <si>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</si>
  <si>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</si>
  <si>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</si>
  <si>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</si>
  <si>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</si>
  <si>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</si>
  <si>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</si>
  <si>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</si>
  <si>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</si>
  <si>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</si>
  <si>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</si>
  <si>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</si>
  <si>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</si>
  <si>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</si>
  <si>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</si>
  <si>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</si>
  <si>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</si>
  <si>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</si>
  <si>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</si>
  <si>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</si>
  <si>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</si>
  <si>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</si>
  <si>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</si>
  <si>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</si>
  <si>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</si>
  <si>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</si>
  <si>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</si>
  <si>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</si>
  <si>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</si>
  <si>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</si>
  <si>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</si>
  <si>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</si>
  <si>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</si>
  <si>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</si>
  <si>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</si>
  <si>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</si>
  <si>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</si>
  <si>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</si>
  <si>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</si>
  <si>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</si>
  <si>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1. Строительсьво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</si>
  <si>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</si>
  <si>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</si>
  <si>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</si>
  <si>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</si>
  <si>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</si>
  <si>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</si>
  <si>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</si>
  <si>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</si>
  <si>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</si>
  <si>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</si>
  <si>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</si>
  <si>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</si>
  <si>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</si>
  <si>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</si>
  <si>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M_Che427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</si>
  <si>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</si>
  <si>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</si>
  <si>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</si>
  <si>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</si>
  <si>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</si>
  <si>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</si>
  <si>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</si>
  <si>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</si>
  <si>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Строительство ПС 35 кВ Аэровокзал (установка трансформаторов мощностью 2х6,3 МВА)</t>
  </si>
  <si>
    <t xml:space="preserve">Договор технологического присоединения от 08.04.2021 №11709/2020/ЧЭ/ГРОГЭС 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</si>
  <si>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</si>
  <si>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</si>
  <si>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</si>
  <si>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</si>
  <si>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</si>
  <si>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+</t>
  </si>
  <si>
    <t>региональный</t>
  </si>
  <si>
    <t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- 12,6 МВт.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</si>
  <si>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</si>
  <si>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</si>
  <si>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</si>
  <si>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</si>
  <si>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</si>
  <si>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</si>
  <si>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15,75 млн.руб./МВА.</t>
  </si>
  <si>
    <t>с</t>
  </si>
  <si>
    <t>12,6 МВА (12,6 км)</t>
  </si>
  <si>
    <t>Строительство</t>
  </si>
  <si>
    <t>Итого за год (нарастающим итогом)</t>
  </si>
  <si>
    <t>за текущий квартал</t>
  </si>
  <si>
    <t>СМР</t>
  </si>
  <si>
    <t>Договор заключен на выполнение ПИР на нескольких объектов. Объем затрат по данному объекту 6 089,76 тыс. руб. с НДС.</t>
  </si>
  <si>
    <t xml:space="preserve">ООО "Лидер"          </t>
  </si>
  <si>
    <t>ООО "ФИРМА ОРГРЭС" № 04-21-ПИР-ЧЭ от 30.07.2021. Объем затрат по объекту 6,09 млн руб. с НДС</t>
  </si>
  <si>
    <t>ООО "ЛИДЕР"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</si>
  <si>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</si>
  <si>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</si>
  <si>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</si>
  <si>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</si>
  <si>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</si>
  <si>
    <t xml:space="preserve">ООО "ФИРМА ОРГРЭС" № 04-21-ПИР-ЧЭ от 30.07.2021. </t>
  </si>
  <si>
    <t xml:space="preserve">ООО "Фирма ОРГРЭС" № 23-2023-АН-ЧЭ от 16.10.2023 </t>
  </si>
  <si>
    <t>Авторский надзор</t>
  </si>
  <si>
    <t>СР</t>
  </si>
  <si>
    <t>ООО Фирма "ОРГРЭС"</t>
  </si>
  <si>
    <t>Без использования функционала ЭТП</t>
  </si>
  <si>
    <t>до полного исполнения договора</t>
  </si>
  <si>
    <t>объем заключенного договора в ценах 2023 года с НДС, млн. руб.</t>
  </si>
  <si>
    <t>ООО "ЛИДЕР" от 12.12.2022 № 08-2022-СМР-ЧЭ. Объем затрат по объекту 199,76 млн руб. с НДС</t>
  </si>
  <si>
    <r>
      <t>Договор заключен на выполнение ПИР на нескольких объектов. Объем затрат по данному объекту 199 759,8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</si>
</sst>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60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43" applyNumberFormat="1" applyFont="1" applyFill="1" applyBorder="1" applyAlignment="1">
      <alignment horizontal="justify" vertical="top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0" fontId="34" fillId="0" borderId="30" xfId="53" applyFont="1" applyBorder="1" applyAlignment="1">
      <alignment horizontal="center" vertical="center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0" fontId="37" fillId="0" borderId="30" xfId="53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0" fontId="34" fillId="0" borderId="31" xfId="53" applyFont="1" applyBorder="1" applyAlignment="1">
      <alignment horizontal="center" vertical="center"/>
    </xf>
    <xf numFmtId="0" fontId="34" fillId="24" borderId="31" xfId="53" applyFont="1" applyFill="1" applyBorder="1" applyAlignment="1">
      <alignment horizontal="center" vertical="center"/>
    </xf>
    <xf numFmtId="4" fontId="34" fillId="0" borderId="31" xfId="53" applyNumberFormat="1" applyFont="1" applyBorder="1" applyAlignment="1">
      <alignment horizontal="center" vertical="center"/>
    </xf>
    <xf numFmtId="4" fontId="34" fillId="0" borderId="31" xfId="53" applyNumberFormat="1" applyFont="1" applyBorder="1"/>
    <xf numFmtId="0" fontId="37" fillId="0" borderId="31" xfId="53" applyFont="1" applyBorder="1" applyAlignment="1">
      <alignment horizontal="center" vertical="center" wrapText="1"/>
    </xf>
    <xf numFmtId="0" fontId="34" fillId="0" borderId="31" xfId="53" applyFont="1" applyBorder="1" applyAlignment="1">
      <alignment horizontal="center" vertical="center" wrapText="1"/>
    </xf>
    <xf numFmtId="0" fontId="34" fillId="0" borderId="31" xfId="53" applyFont="1" applyBorder="1" applyAlignment="1">
      <alignment vertical="center" wrapText="1"/>
    </xf>
    <xf numFmtId="14" fontId="34" fillId="0" borderId="31" xfId="53" applyNumberFormat="1" applyFont="1" applyBorder="1" applyAlignment="1">
      <alignment horizontal="center" vertical="center"/>
    </xf>
    <xf numFmtId="14" fontId="58" fillId="0" borderId="31" xfId="0" applyNumberFormat="1" applyFont="1" applyBorder="1" applyAlignment="1">
      <alignment horizontal="center" vertical="center" wrapText="1" readingOrder="1"/>
    </xf>
    <xf numFmtId="14" fontId="6" fillId="0" borderId="31" xfId="53" applyNumberFormat="1" applyFont="1" applyBorder="1" applyAlignment="1">
      <alignment horizontal="center" vertical="center"/>
    </xf>
    <xf numFmtId="0" fontId="34" fillId="0" borderId="31" xfId="53" applyFont="1" applyBorder="1" applyAlignment="1">
      <alignment horizontal="justify" vertical="center" wrapText="1"/>
    </xf>
    <xf numFmtId="0" fontId="34" fillId="0" borderId="0" xfId="53" applyFont="1" applyAlignment="1">
      <alignment vertical="center"/>
    </xf>
    <xf numFmtId="0" fontId="34" fillId="0" borderId="0" xfId="53" applyFont="1" applyAlignment="1">
      <alignment horizontal="center" vertical="center" wrapText="1"/>
    </xf>
    <xf numFmtId="14" fontId="34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34" fillId="0" borderId="32" xfId="53" applyFont="1" applyBorder="1" applyAlignment="1">
      <alignment horizontal="center" vertical="center" wrapText="1"/>
    </xf>
    <xf numFmtId="0" fontId="34" fillId="0" borderId="33" xfId="53" applyFont="1" applyBorder="1" applyAlignment="1">
      <alignment horizontal="center" vertical="center" wrapText="1"/>
    </xf>
    <xf numFmtId="0" fontId="34" fillId="0" borderId="34" xfId="53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34" fillId="0" borderId="32" xfId="53" applyNumberFormat="1" applyFont="1" applyBorder="1" applyAlignment="1">
      <alignment horizontal="center" vertical="center" wrapText="1"/>
    </xf>
    <xf numFmtId="1" fontId="34" fillId="0" borderId="33" xfId="53" applyNumberFormat="1" applyFont="1" applyBorder="1" applyAlignment="1">
      <alignment horizontal="center" vertical="center" wrapText="1"/>
    </xf>
    <xf numFmtId="1" fontId="34" fillId="0" borderId="34" xfId="53" applyNumberFormat="1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1" fontId="34" fillId="0" borderId="35" xfId="53" applyNumberFormat="1" applyFont="1" applyBorder="1" applyAlignment="1">
      <alignment horizontal="center" vertical="center" wrapText="1"/>
    </xf>
    <xf numFmtId="1" fontId="34" fillId="0" borderId="36" xfId="53" applyNumberFormat="1" applyFont="1" applyBorder="1" applyAlignment="1">
      <alignment horizontal="center" vertical="center" wrapText="1"/>
    </xf>
    <xf numFmtId="1" fontId="34" fillId="0" borderId="37" xfId="53" applyNumberFormat="1" applyFont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49" fontId="34" fillId="0" borderId="31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2" fontId="37" fillId="24" borderId="31" xfId="53" applyNumberFormat="1" applyFont="1" applyFill="1" applyBorder="1" applyAlignment="1">
      <alignment horizontal="center" vertical="center" wrapText="1"/>
    </xf>
    <xf numFmtId="2" fontId="37" fillId="24" borderId="13" xfId="53" applyNumberFormat="1" applyFont="1" applyFill="1" applyBorder="1" applyAlignment="1">
      <alignment horizontal="center" vertical="center" wrapText="1"/>
    </xf>
    <xf numFmtId="2" fontId="37" fillId="24" borderId="12" xfId="53" applyNumberFormat="1" applyFont="1" applyFill="1" applyBorder="1" applyAlignment="1">
      <alignment horizontal="center" vertical="center" wrapText="1"/>
    </xf>
    <xf numFmtId="1" fontId="37" fillId="0" borderId="31" xfId="53" applyNumberFormat="1" applyFont="1" applyBorder="1" applyAlignment="1">
      <alignment horizontal="center" vertical="center" wrapText="1"/>
    </xf>
    <xf numFmtId="1" fontId="37" fillId="0" borderId="13" xfId="53" applyNumberFormat="1" applyFont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\&#1056;&#1072;&#1073;&#1086;&#1095;&#1080;&#1081;%20&#1089;&#1090;&#1086;&#1083;\&#1055;&#1072;&#1089;&#1087;&#1086;&#1088;&#1090;&#1072;%20&#1079;&#1072;%204%20&#1082;&#1074;.2024&#1075;\M_Che427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5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27" t="str">
        <f>'[1]6.2. отчет'!$B$2</f>
        <v>Год раскрытия информации: 2025 год</v>
      </c>
      <c r="B5" s="227"/>
      <c r="C5" s="227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31" t="s">
        <v>5</v>
      </c>
      <c r="B7" s="231"/>
      <c r="C7" s="231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32" t="s">
        <v>287</v>
      </c>
      <c r="B9" s="232"/>
      <c r="C9" s="232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33" t="s">
        <v>4</v>
      </c>
      <c r="B10" s="233"/>
      <c r="C10" s="233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32" t="s">
        <v>469</v>
      </c>
      <c r="B12" s="232"/>
      <c r="C12" s="232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33" t="s">
        <v>3</v>
      </c>
      <c r="B13" s="233"/>
      <c r="C13" s="233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34" t="str">
        <f>VLOOKUP(A12,'[1]6.2. отчет'!$A:$C,3,0)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2"/>
      <c r="C15" s="232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28" t="s">
        <v>2</v>
      </c>
      <c r="B16" s="228"/>
      <c r="C16" s="228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29" t="s">
        <v>279</v>
      </c>
      <c r="B18" s="230"/>
      <c r="C18" s="230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480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447</v>
      </c>
      <c r="C23" s="62" t="s">
        <v>481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24"/>
      <c r="B24" s="225"/>
      <c r="C24" s="226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482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483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484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485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485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486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449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485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485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485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24"/>
      <c r="B39" s="225"/>
      <c r="C39" s="226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446</v>
      </c>
      <c r="C40" s="75" t="s">
        <v>487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488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>
        <v>0.86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489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70">
        <f>'6.2. Паспорт фин осв ввод'!C24</f>
        <v>238.10231199920003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70">
        <f>'6.2. Паспорт фин осв ввод'!C30</f>
        <v>198.41859333333332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5" zoomScale="60" zoomScaleNormal="60" zoomScaleSheetLayoutView="75" workbookViewId="0">
      <selection activeCell="E62" sqref="E62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27" t="str">
        <f>'1. паспорт местоположение'!$A$5</f>
        <v>Год раскрытия информации: 2025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</row>
    <row r="6" spans="1:11" ht="18.75" x14ac:dyDescent="0.25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32" t="str">
        <f>'6.1. Паспорт сетевой график'!A9:L9</f>
        <v>АО "Чеченэнерго"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</row>
    <row r="9" spans="1:11" ht="18.75" customHeight="1" x14ac:dyDescent="0.25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</row>
    <row r="10" spans="1:1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x14ac:dyDescent="0.25">
      <c r="A11" s="232" t="str">
        <f>'6.1. Паспорт сетевой график'!A12:L12</f>
        <v>M_Che427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</row>
    <row r="12" spans="1:11" x14ac:dyDescent="0.25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x14ac:dyDescent="0.25">
      <c r="A14" s="232" t="str">
        <f>'6.1. Паспорт сетевой график'!A15:L15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</row>
    <row r="15" spans="1:11" ht="15.75" customHeight="1" x14ac:dyDescent="0.25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</row>
    <row r="16" spans="1:11" x14ac:dyDescent="0.25">
      <c r="A16" s="297"/>
      <c r="B16" s="297"/>
      <c r="C16" s="297"/>
      <c r="D16" s="297"/>
      <c r="E16" s="297"/>
      <c r="F16" s="297"/>
      <c r="G16" s="297"/>
      <c r="H16" s="297"/>
      <c r="I16" s="297"/>
      <c r="J16" s="297"/>
      <c r="K16" s="297"/>
    </row>
    <row r="18" spans="1:13" x14ac:dyDescent="0.25">
      <c r="A18" s="306" t="s">
        <v>274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</row>
    <row r="19" spans="1:13" x14ac:dyDescent="0.25">
      <c r="F19" s="57"/>
    </row>
    <row r="20" spans="1:13" ht="33" customHeight="1" x14ac:dyDescent="0.25">
      <c r="A20" s="301" t="s">
        <v>124</v>
      </c>
      <c r="B20" s="301" t="s">
        <v>123</v>
      </c>
      <c r="C20" s="307" t="s">
        <v>122</v>
      </c>
      <c r="D20" s="308"/>
      <c r="E20" s="302" t="s">
        <v>121</v>
      </c>
      <c r="F20" s="303"/>
      <c r="G20" s="280" t="s">
        <v>505</v>
      </c>
      <c r="H20" s="298" t="s">
        <v>506</v>
      </c>
      <c r="I20" s="299"/>
      <c r="J20" s="299"/>
      <c r="K20" s="300"/>
    </row>
    <row r="21" spans="1:13" ht="87" customHeight="1" x14ac:dyDescent="0.25">
      <c r="A21" s="301"/>
      <c r="B21" s="301"/>
      <c r="C21" s="309"/>
      <c r="D21" s="310"/>
      <c r="E21" s="304"/>
      <c r="F21" s="305"/>
      <c r="G21" s="281"/>
      <c r="H21" s="286" t="s">
        <v>0</v>
      </c>
      <c r="I21" s="287"/>
      <c r="J21" s="286" t="s">
        <v>7</v>
      </c>
      <c r="K21" s="287"/>
    </row>
    <row r="22" spans="1:13" ht="62.25" customHeight="1" x14ac:dyDescent="0.25">
      <c r="A22" s="301"/>
      <c r="B22" s="301"/>
      <c r="C22" s="179" t="s">
        <v>0</v>
      </c>
      <c r="D22" s="179" t="s">
        <v>7</v>
      </c>
      <c r="E22" s="166" t="s">
        <v>507</v>
      </c>
      <c r="F22" s="166" t="s">
        <v>508</v>
      </c>
      <c r="G22" s="282"/>
      <c r="H22" s="167" t="s">
        <v>498</v>
      </c>
      <c r="I22" s="167" t="s">
        <v>499</v>
      </c>
      <c r="J22" s="167" t="s">
        <v>498</v>
      </c>
      <c r="K22" s="167" t="s">
        <v>499</v>
      </c>
    </row>
    <row r="23" spans="1:13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8">
        <f>VLOOKUP($A$11,'[1]6.2. отчет'!$D:$K,2,0)</f>
        <v>238.10231199920003</v>
      </c>
      <c r="D24" s="168">
        <f>VLOOKUP($A$11,'[1]6.2. отчет'!$D:$K,5,0)</f>
        <v>197.03147964319999</v>
      </c>
      <c r="E24" s="168">
        <f>VLOOKUP($A$11,'[1]6.2. отчет'!$D:$K,7,0)</f>
        <v>232.01255414800002</v>
      </c>
      <c r="F24" s="168">
        <f>VLOOKUP($A$11,'[1]6.2. отчет'!$D:$K,8,0)</f>
        <v>89.554855463000024</v>
      </c>
      <c r="G24" s="168">
        <f>VLOOKUP($A$11,'[1]6.2. отчет'!$D:$BL,9,0)</f>
        <v>142.457698685</v>
      </c>
      <c r="H24" s="168">
        <f>VLOOKUP($A$11,'[1]6.2. отчет'!$D:$BL,15,0)</f>
        <v>89.55485546380001</v>
      </c>
      <c r="I24" s="168">
        <f>VLOOKUP($A$11,'[1]6.2. отчет'!$D:$CU,45,0)</f>
        <v>89.55485546380001</v>
      </c>
      <c r="J24" s="168">
        <f>VLOOKUP($A$11,'[1]6.2. отчет'!$D:$BL,56,0)</f>
        <v>48.484023106999999</v>
      </c>
      <c r="K24" s="168">
        <f>VLOOKUP($A$11,'[1]6.2. отчет'!$D:$CU,86,0)</f>
        <v>48.484023106999999</v>
      </c>
    </row>
    <row r="25" spans="1:13" s="36" customFormat="1" ht="21.75" customHeight="1" x14ac:dyDescent="0.25">
      <c r="A25" s="11" t="s">
        <v>119</v>
      </c>
      <c r="B25" s="7" t="s">
        <v>118</v>
      </c>
      <c r="C25" s="168">
        <f t="shared" ref="C25:C26" si="0">H25</f>
        <v>0</v>
      </c>
      <c r="D25" s="168">
        <f>G25+J25</f>
        <v>0</v>
      </c>
      <c r="E25" s="168">
        <f t="shared" ref="E25:E28" si="1">F25+G25</f>
        <v>0</v>
      </c>
      <c r="F25" s="168">
        <f t="shared" ref="F25:F26" si="2">J25</f>
        <v>0</v>
      </c>
      <c r="G25" s="168">
        <f>VLOOKUP($A$11,'[1]6.2. отчет'!$D:$BL,10,0)</f>
        <v>0</v>
      </c>
      <c r="H25" s="168">
        <f>VLOOKUP($A$11,'[1]6.2. отчет'!$D:$BL,16,0)</f>
        <v>0</v>
      </c>
      <c r="I25" s="168">
        <f>IF(H25=0,0,VLOOKUP($A$11,'[1]6.2. отчет'!$D:$CU,46,0))</f>
        <v>0</v>
      </c>
      <c r="J25" s="168">
        <f>VLOOKUP($A$11,'[1]6.2. отчет'!$D:$BL,57,0)</f>
        <v>0</v>
      </c>
      <c r="K25" s="168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8">
        <f t="shared" si="0"/>
        <v>0</v>
      </c>
      <c r="D26" s="168">
        <f>G26+J26</f>
        <v>0</v>
      </c>
      <c r="E26" s="168">
        <f t="shared" si="1"/>
        <v>0</v>
      </c>
      <c r="F26" s="168">
        <f t="shared" si="2"/>
        <v>0</v>
      </c>
      <c r="G26" s="168">
        <f>VLOOKUP($A$11,'[1]6.2. отчет'!$D:$BL,11,0)</f>
        <v>0</v>
      </c>
      <c r="H26" s="168">
        <f>VLOOKUP($A$11,'[1]6.2. отчет'!$D:$BL,17,0)</f>
        <v>0</v>
      </c>
      <c r="I26" s="168">
        <f>IF(H26=0,0,VLOOKUP($A$11,'[1]6.2. отчет'!$D:$CU,47,0))</f>
        <v>0</v>
      </c>
      <c r="J26" s="168">
        <f>VLOOKUP($A$11,'[1]6.2. отчет'!$D:$BL,58,0)</f>
        <v>0</v>
      </c>
      <c r="K26" s="168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8">
        <f>IF(C24="нд","нд",C24-(C29+C28+C26+C25))</f>
        <v>148.54745653540002</v>
      </c>
      <c r="D27" s="168">
        <f>G27+J27+D24-(G24+J24)</f>
        <v>6.0897578511999768</v>
      </c>
      <c r="E27" s="168">
        <f>F27+G27</f>
        <v>89.554855463000024</v>
      </c>
      <c r="F27" s="168">
        <f>F24-(F25+F26+F28+F29)</f>
        <v>89.554855463000024</v>
      </c>
      <c r="G27" s="168">
        <f>VLOOKUP($A$11,'[1]6.2. отчет'!$D:$BL,12,0)</f>
        <v>0</v>
      </c>
      <c r="H27" s="168">
        <f>VLOOKUP($A$11,'[1]6.2. отчет'!$D:$BL,18,0)</f>
        <v>0</v>
      </c>
      <c r="I27" s="168">
        <f>IF(H27=0,0,VLOOKUP($A$11,'[1]6.2. отчет'!$D:$CU,48,0))</f>
        <v>0</v>
      </c>
      <c r="J27" s="168">
        <f>VLOOKUP($A$11,'[1]6.2. отчет'!$D:$BL,59,0)</f>
        <v>0</v>
      </c>
      <c r="K27" s="168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8">
        <f>H28</f>
        <v>13.699496398999997</v>
      </c>
      <c r="D28" s="168">
        <f t="shared" ref="D28:D29" si="3">G28+J28</f>
        <v>156.15719508399999</v>
      </c>
      <c r="E28" s="168">
        <f t="shared" si="1"/>
        <v>142.457698685</v>
      </c>
      <c r="F28" s="168">
        <v>0</v>
      </c>
      <c r="G28" s="168">
        <f>VLOOKUP($A$11,'[1]6.2. отчет'!$D:$BL,13,0)</f>
        <v>142.457698685</v>
      </c>
      <c r="H28" s="168">
        <f>VLOOKUP($A$11,'[1]6.2. отчет'!$D:$BL,19,0)</f>
        <v>13.699496398999997</v>
      </c>
      <c r="I28" s="168">
        <f>IF(H28=0,0,VLOOKUP($A$11,'[1]6.2. отчет'!$D:$CU,49,0))</f>
        <v>13.699496398999997</v>
      </c>
      <c r="J28" s="168">
        <f>VLOOKUP($A$11,'[1]6.2. отчет'!$D:$BL,60,0)</f>
        <v>13.699496398999997</v>
      </c>
      <c r="K28" s="168">
        <f>IF(J28=0,0,VLOOKUP($A$11,'[1]6.2. отчет'!$D:$CU,90,0))</f>
        <v>13.699496398999997</v>
      </c>
    </row>
    <row r="29" spans="1:13" s="36" customFormat="1" ht="18" customHeight="1" x14ac:dyDescent="0.25">
      <c r="A29" s="11" t="s">
        <v>112</v>
      </c>
      <c r="B29" s="14" t="s">
        <v>111</v>
      </c>
      <c r="C29" s="168">
        <f>H29</f>
        <v>75.855359064800012</v>
      </c>
      <c r="D29" s="168">
        <f t="shared" si="3"/>
        <v>34.784526708000001</v>
      </c>
      <c r="E29" s="168">
        <f>F29+G29</f>
        <v>0</v>
      </c>
      <c r="F29" s="168">
        <v>0</v>
      </c>
      <c r="G29" s="168">
        <f>VLOOKUP($A$11,'[1]6.2. отчет'!$D:$BL,14,0)</f>
        <v>0</v>
      </c>
      <c r="H29" s="168">
        <f>VLOOKUP($A$11,'[1]6.2. отчет'!$D:$BL,20,0)</f>
        <v>75.855359064800012</v>
      </c>
      <c r="I29" s="168">
        <f>IF(H29=0,0,VLOOKUP($A$11,'[1]6.2. отчет'!$D:$CU,50,0))</f>
        <v>75.855359064800012</v>
      </c>
      <c r="J29" s="168">
        <f>VLOOKUP($A$11,'[1]6.2. отчет'!$D:$BL,61,0)</f>
        <v>34.784526708000001</v>
      </c>
      <c r="K29" s="168">
        <f>IF(J29=0,0,VLOOKUP($A$11,'[1]6.2. отчет'!$D:$CU,91,0))</f>
        <v>34.784526708000001</v>
      </c>
    </row>
    <row r="30" spans="1:13" s="36" customFormat="1" ht="47.25" x14ac:dyDescent="0.25">
      <c r="A30" s="13" t="s">
        <v>52</v>
      </c>
      <c r="B30" s="12" t="s">
        <v>110</v>
      </c>
      <c r="C30" s="168">
        <f>VLOOKUP($A$11,'[1]6.2. отчет'!$D:$DB,99,0)</f>
        <v>198.41859333333332</v>
      </c>
      <c r="D30" s="168">
        <f>VLOOKUP($A$11,'[1]6.2. отчет'!$D:$FK,106,0)</f>
        <v>173.47639299999997</v>
      </c>
      <c r="E30" s="168">
        <f>VLOOKUP($A$11,'[1]6.2. отчет'!$D:$FK,108,0)</f>
        <v>193.34379512333331</v>
      </c>
      <c r="F30" s="168">
        <f>VLOOKUP($A$11,'[1]6.2. отчет'!$D:$FK,109,0)</f>
        <v>61.944755523333328</v>
      </c>
      <c r="G30" s="168">
        <f>VLOOKUP($A$11,'[1]6.2. отчет'!$D:$FK,110,0)</f>
        <v>131.39903959999998</v>
      </c>
      <c r="H30" s="168">
        <f>VLOOKUP($A$11,'[1]6.2. отчет'!$D:$FK,115,0)</f>
        <v>61.944755523333356</v>
      </c>
      <c r="I30" s="168">
        <f>VLOOKUP($A$11,'[1]6.2. отчет'!$D:$AGP,124,0)</f>
        <v>61.944755523333356</v>
      </c>
      <c r="J30" s="168">
        <f>VLOOKUP($A$11,'[1]6.2. отчет'!$D:$FK,130,0)</f>
        <v>37.002555189999995</v>
      </c>
      <c r="K30" s="168">
        <f>VLOOKUP($A$11,'[1]6.2. отчет'!$D:$FK,155,0)</f>
        <v>37.002555189999995</v>
      </c>
      <c r="M30" s="183"/>
    </row>
    <row r="31" spans="1:13" s="36" customFormat="1" ht="21" customHeight="1" x14ac:dyDescent="0.25">
      <c r="A31" s="13" t="s">
        <v>109</v>
      </c>
      <c r="B31" s="7" t="s">
        <v>108</v>
      </c>
      <c r="C31" s="168">
        <f>VLOOKUP($A$11,'[1]6.2. отчет'!$D:$DB,100,0)</f>
        <v>5.07479821</v>
      </c>
      <c r="D31" s="168">
        <v>5.07479821</v>
      </c>
      <c r="E31" s="168">
        <f>F31+G31</f>
        <v>0</v>
      </c>
      <c r="F31" s="168">
        <v>0</v>
      </c>
      <c r="G31" s="168">
        <f>VLOOKUP($A$11,'[1]6.2. отчет'!$D:$FK,111,0)</f>
        <v>0</v>
      </c>
      <c r="H31" s="168">
        <v>0</v>
      </c>
      <c r="I31" s="168">
        <v>0</v>
      </c>
      <c r="J31" s="168">
        <f>VLOOKUP($A$11,'[1]6.2. отчет'!$D:$FK,131,0)</f>
        <v>0</v>
      </c>
      <c r="K31" s="168">
        <f>IF(J31=0,0,VLOOKUP($A$11,'[1]6.2. отчет'!$D:$FK,156,0))</f>
        <v>0</v>
      </c>
      <c r="M31" s="183"/>
    </row>
    <row r="32" spans="1:13" s="36" customFormat="1" ht="34.5" customHeight="1" x14ac:dyDescent="0.25">
      <c r="A32" s="13" t="s">
        <v>107</v>
      </c>
      <c r="B32" s="7" t="s">
        <v>106</v>
      </c>
      <c r="C32" s="168">
        <f>VLOOKUP($A$11,'[1]6.2. отчет'!$D:$DB,101,0)</f>
        <v>21.092093333333334</v>
      </c>
      <c r="D32" s="168">
        <v>5.0876010000000003</v>
      </c>
      <c r="E32" s="168">
        <f t="shared" ref="E32:E34" si="4">F32+G32</f>
        <v>17.962764333333336</v>
      </c>
      <c r="F32" s="168">
        <v>11.425593333333335</v>
      </c>
      <c r="G32" s="168">
        <f>VLOOKUP($A$11,'[1]6.2. отчет'!$D:$FK,112,0)</f>
        <v>6.5371710000000007</v>
      </c>
      <c r="H32" s="168">
        <v>11.425593333333335</v>
      </c>
      <c r="I32" s="168">
        <v>11.425593333333335</v>
      </c>
      <c r="J32" s="168">
        <f>VLOOKUP($A$11,'[1]6.2. отчет'!$D:$FK,132,0)</f>
        <v>12.789445000000001</v>
      </c>
      <c r="K32" s="168">
        <f>IF(J32=0,0,VLOOKUP($A$11,'[1]6.2. отчет'!$D:$FK,157,0))</f>
        <v>12.789445000000001</v>
      </c>
      <c r="M32" s="183"/>
    </row>
    <row r="33" spans="1:13" s="36" customFormat="1" ht="20.25" customHeight="1" x14ac:dyDescent="0.25">
      <c r="A33" s="13" t="s">
        <v>105</v>
      </c>
      <c r="B33" s="7" t="s">
        <v>104</v>
      </c>
      <c r="C33" s="168">
        <f>VLOOKUP($A$11,'[1]6.2. отчет'!$D:$DB,102,0)</f>
        <v>138.84068083333332</v>
      </c>
      <c r="D33" s="168">
        <f>D30-D31-D32</f>
        <v>163.31399378999996</v>
      </c>
      <c r="E33" s="168">
        <f t="shared" si="4"/>
        <v>160.63590983333336</v>
      </c>
      <c r="F33" s="168">
        <v>35.77404123333335</v>
      </c>
      <c r="G33" s="168">
        <f>VLOOKUP($A$11,'[1]6.2. отчет'!$D:$FK,113,0)</f>
        <v>124.86186859999999</v>
      </c>
      <c r="H33" s="168">
        <v>35.77404123333335</v>
      </c>
      <c r="I33" s="168">
        <v>35.77404123333335</v>
      </c>
      <c r="J33" s="168">
        <f>VLOOKUP($A$11,'[1]6.2. отчет'!$D:$FK,133,0)</f>
        <v>5.3367560000000003</v>
      </c>
      <c r="K33" s="168">
        <f>IF(J33=0,0,VLOOKUP($A$11,'[1]6.2. отчет'!$D:$FK,158,0))</f>
        <v>5.3367560000000003</v>
      </c>
      <c r="M33" s="183"/>
    </row>
    <row r="34" spans="1:13" s="36" customFormat="1" ht="17.25" customHeight="1" x14ac:dyDescent="0.25">
      <c r="A34" s="13" t="s">
        <v>103</v>
      </c>
      <c r="B34" s="7" t="s">
        <v>102</v>
      </c>
      <c r="C34" s="168">
        <f>VLOOKUP($A$11,'[1]6.2. отчет'!$D:$DB,103,0)</f>
        <v>33.411020956666661</v>
      </c>
      <c r="D34" s="168">
        <v>0</v>
      </c>
      <c r="E34" s="168">
        <f t="shared" si="4"/>
        <v>14.745120956666639</v>
      </c>
      <c r="F34" s="168">
        <f>F30-F31-F32-F33</f>
        <v>14.745120956666639</v>
      </c>
      <c r="G34" s="168">
        <f>VLOOKUP($A$11,'[1]6.2. отчет'!$D:$FK,114,0)</f>
        <v>0</v>
      </c>
      <c r="H34" s="168">
        <v>14.745120956666668</v>
      </c>
      <c r="I34" s="168">
        <v>14.745120956666668</v>
      </c>
      <c r="J34" s="168">
        <f>VLOOKUP($A$11,'[1]6.2. отчет'!$D:$FK,134,0)</f>
        <v>18.87635418999999</v>
      </c>
      <c r="K34" s="168">
        <f>IF(J34=0,0,VLOOKUP($A$11,'[1]6.2. отчет'!$D:$FK,159,0))</f>
        <v>18.87635418999999</v>
      </c>
      <c r="M34" s="183"/>
    </row>
    <row r="35" spans="1:13" s="93" customFormat="1" ht="31.5" x14ac:dyDescent="0.25">
      <c r="A35" s="13" t="s">
        <v>51</v>
      </c>
      <c r="B35" s="12" t="s">
        <v>101</v>
      </c>
      <c r="C35" s="168"/>
      <c r="D35" s="168"/>
      <c r="E35" s="168"/>
      <c r="F35" s="168"/>
      <c r="G35" s="168"/>
      <c r="H35" s="168"/>
      <c r="I35" s="169"/>
      <c r="J35" s="168"/>
      <c r="K35" s="169"/>
    </row>
    <row r="36" spans="1:13" s="36" customFormat="1" ht="31.5" x14ac:dyDescent="0.25">
      <c r="A36" s="11" t="s">
        <v>100</v>
      </c>
      <c r="B36" s="56" t="s">
        <v>99</v>
      </c>
      <c r="C36" s="168">
        <f>IF('1. паспорт местоположение'!$C$22="Прочие инвестиционные проекты",0,VLOOKUP($A$11,'[1]6.2. отчет'!$D:$FX,168,0))</f>
        <v>0</v>
      </c>
      <c r="D36" s="184">
        <v>0</v>
      </c>
      <c r="E36" s="168">
        <f>F36+G36</f>
        <v>0</v>
      </c>
      <c r="F36" s="168">
        <v>0</v>
      </c>
      <c r="G36" s="168">
        <f>IF('1. паспорт местоположение'!$C$22="Прочие инвестиционные проекты",0,VLOOKUP($A$11,'[1]6.2. отчет'!$D:$GJ,180,0))</f>
        <v>0</v>
      </c>
      <c r="H36" s="168">
        <f>IF('1. паспорт местоположение'!$C$22="Прочие инвестиционные проекты",0,VLOOKUP($A$11,'[1]6.2. отчет'!$D:$AGO,191,0))</f>
        <v>0</v>
      </c>
      <c r="I36" s="168">
        <f>IF('1. паспорт местоположение'!$C$22="Прочие инвестиционные проекты",0,VLOOKUP($A$11,'[1]6.2. отчет'!$D:$AGO,246,0))</f>
        <v>0</v>
      </c>
      <c r="J36" s="168">
        <f>IF('1. паспорт местоположение'!$C$22="Прочие инвестиционные проекты",0,VLOOKUP($A$11,'[1]6.2. отчет'!$D:$AGO,257,0))</f>
        <v>0</v>
      </c>
      <c r="K36" s="168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8">
        <f>IF('1. паспорт местоположение'!$C$22="Прочие инвестиционные проекты",0,VLOOKUP($A$11,'[1]6.2. отчет'!$D:$FX,169,0))</f>
        <v>12.6</v>
      </c>
      <c r="D37" s="184">
        <f>VLOOKUP($A$11,'[1]6.2. отчет'!$D:$OZ,410,0)</f>
        <v>12.6</v>
      </c>
      <c r="E37" s="168">
        <f t="shared" ref="E37:E42" si="5">F37+G37</f>
        <v>12.6</v>
      </c>
      <c r="F37" s="168">
        <v>12.6</v>
      </c>
      <c r="G37" s="168">
        <f>IF('1. паспорт местоположение'!$C$22="Прочие инвестиционные проекты",0,VLOOKUP($A$11,'[1]6.2. отчет'!$D:$GJ,181,0))</f>
        <v>0</v>
      </c>
      <c r="H37" s="168">
        <f>IF('1. паспорт местоположение'!$C$22="Прочие инвестиционные проекты",0,VLOOKUP($A$11,'[1]6.2. отчет'!$D:$AGO,192,0))</f>
        <v>12.6</v>
      </c>
      <c r="I37" s="168">
        <f>IF('1. паспорт местоположение'!$C$22="Прочие инвестиционные проекты",0,VLOOKUP($A$11,'[1]6.2. отчет'!$D:$AGO,247,0))</f>
        <v>12.6</v>
      </c>
      <c r="J37" s="168">
        <f>IF('1. паспорт местоположение'!$C$22="Прочие инвестиционные проекты",0,VLOOKUP($A$11,'[1]6.2. отчет'!$D:$AGO,258,0))</f>
        <v>12.6</v>
      </c>
      <c r="K37" s="168">
        <f>IF('1. паспорт местоположение'!$C$22="Прочие инвестиционные проекты",0,VLOOKUP($A$11,'[1]6.2. отчет'!$D:$AGO,313,0))</f>
        <v>12.6</v>
      </c>
    </row>
    <row r="38" spans="1:13" s="36" customFormat="1" x14ac:dyDescent="0.25">
      <c r="A38" s="11" t="s">
        <v>97</v>
      </c>
      <c r="B38" s="56" t="s">
        <v>86</v>
      </c>
      <c r="C38" s="168">
        <f>IF('1. паспорт местоположение'!$C$22="Прочие инвестиционные проекты",0,VLOOKUP($A$11,'[1]6.2. отчет'!$D:$FX,170,0))</f>
        <v>0</v>
      </c>
      <c r="D38" s="184">
        <f>VLOOKUP($A$11,'[1]6.2. отчет'!$D:$OZ,411,0)</f>
        <v>0</v>
      </c>
      <c r="E38" s="168">
        <f t="shared" si="5"/>
        <v>0</v>
      </c>
      <c r="F38" s="168">
        <v>0</v>
      </c>
      <c r="G38" s="168">
        <f>IF('1. паспорт местоположение'!$C$22="Прочие инвестиционные проекты",0,VLOOKUP($A$11,'[1]6.2. отчет'!$D:$GJ,182,0))</f>
        <v>0</v>
      </c>
      <c r="H38" s="168">
        <f>IF('1. паспорт местоположение'!$C$22="Прочие инвестиционные проекты",0,VLOOKUP($A$11,'[1]6.2. отчет'!$D:$AGO,193,0))</f>
        <v>0</v>
      </c>
      <c r="I38" s="168">
        <f>IF('1. паспорт местоположение'!$C$22="Прочие инвестиционные проекты",0,VLOOKUP($A$11,'[1]6.2. отчет'!$D:$AGO,248,0))</f>
        <v>0</v>
      </c>
      <c r="J38" s="168">
        <f>IF('1. паспорт местоположение'!$C$22="Прочие инвестиционные проекты",0,VLOOKUP($A$11,'[1]6.2. отчет'!$D:$AGO,259,0))</f>
        <v>0</v>
      </c>
      <c r="K38" s="168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8">
        <f>IF('1. паспорт местоположение'!$C$22="Прочие инвестиционные проекты",0,VLOOKUP($A$11,'[1]6.2. отчет'!$D:$FX,172,0))</f>
        <v>0</v>
      </c>
      <c r="D39" s="184">
        <f>VLOOKUP($A$11,'[1]6.2. отчет'!$D:$OZ,409,0)</f>
        <v>0</v>
      </c>
      <c r="E39" s="168">
        <f t="shared" si="5"/>
        <v>0</v>
      </c>
      <c r="F39" s="168">
        <v>0</v>
      </c>
      <c r="G39" s="168">
        <f>IF('1. паспорт местоположение'!$C$22="Прочие инвестиционные проекты",0,VLOOKUP($A$11,'[1]6.2. отчет'!$D:$GJ,184,0))</f>
        <v>0</v>
      </c>
      <c r="H39" s="168">
        <f>IF('1. паспорт местоположение'!$C$22="Прочие инвестиционные проекты",0,VLOOKUP($A$11,'[1]6.2. отчет'!$D:$AGO,195,0))</f>
        <v>0</v>
      </c>
      <c r="I39" s="168">
        <f>IF('1. паспорт местоположение'!$C$22="Прочие инвестиционные проекты",0,VLOOKUP($A$11,'[1]6.2. отчет'!$D:$AGO,250,0))</f>
        <v>0</v>
      </c>
      <c r="J39" s="168">
        <f>IF('1. паспорт местоположение'!$C$22="Прочие инвестиционные проекты",0,VLOOKUP($A$11,'[1]6.2. отчет'!$D:$AGO,261,0))</f>
        <v>0</v>
      </c>
      <c r="K39" s="168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8">
        <f>IF('1. паспорт местоположение'!$C$22="Прочие инвестиционные проекты",0,VLOOKUP($A$11,'[1]6.2. отчет'!$D:$FX,173,0))</f>
        <v>0</v>
      </c>
      <c r="D40" s="184">
        <v>0</v>
      </c>
      <c r="E40" s="168">
        <f t="shared" si="5"/>
        <v>0</v>
      </c>
      <c r="F40" s="168">
        <v>0</v>
      </c>
      <c r="G40" s="168">
        <f>IF('1. паспорт местоположение'!$C$22="Прочие инвестиционные проекты",0,VLOOKUP($A$11,'[1]6.2. отчет'!$D:$GJ,185,0))</f>
        <v>0</v>
      </c>
      <c r="H40" s="168">
        <f>IF('1. паспорт местоположение'!$C$22="Прочие инвестиционные проекты",0,VLOOKUP($A$11,'[1]6.2. отчет'!$D:$AGO,196,0))</f>
        <v>0</v>
      </c>
      <c r="I40" s="168">
        <f>IF('1. паспорт местоположение'!$C$22="Прочие инвестиционные проекты",0,VLOOKUP($A$11,'[1]6.2. отчет'!$D:$AGO,251,0))</f>
        <v>0</v>
      </c>
      <c r="J40" s="168">
        <f>IF('1. паспорт местоположение'!$C$22="Прочие инвестиционные проекты",0,VLOOKUP($A$11,'[1]6.2. отчет'!$D:$AGO,262,0))</f>
        <v>0</v>
      </c>
      <c r="K40" s="168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8">
        <f>IF('1. паспорт местоположение'!$C$22="Прочие инвестиционные проекты",0,VLOOKUP($A$11,'[1]6.2. отчет'!$D:$FX,174,0))</f>
        <v>0</v>
      </c>
      <c r="D41" s="184">
        <v>0</v>
      </c>
      <c r="E41" s="168">
        <f t="shared" si="5"/>
        <v>0</v>
      </c>
      <c r="F41" s="168">
        <v>0</v>
      </c>
      <c r="G41" s="168">
        <f>IF('1. паспорт местоположение'!$C$22="Прочие инвестиционные проекты",0,VLOOKUP($A$11,'[1]6.2. отчет'!$D:$GJ,186,0))</f>
        <v>0</v>
      </c>
      <c r="H41" s="168">
        <f>IF('1. паспорт местоположение'!$C$22="Прочие инвестиционные проекты",0,VLOOKUP($A$11,'[1]6.2. отчет'!$D:$AGO,197,0))</f>
        <v>0</v>
      </c>
      <c r="I41" s="168">
        <f>IF('1. паспорт местоположение'!$C$22="Прочие инвестиционные проекты",0,VLOOKUP($A$11,'[1]6.2. отчет'!$D:$AGO,252,0))</f>
        <v>0</v>
      </c>
      <c r="J41" s="168">
        <f>IF('1. паспорт местоположение'!$C$22="Прочие инвестиционные проекты",0,VLOOKUP($A$11,'[1]6.2. отчет'!$D:$AGO,263,0))</f>
        <v>0</v>
      </c>
      <c r="K41" s="168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6" t="s">
        <v>450</v>
      </c>
      <c r="C42" s="168">
        <f>IF('1. паспорт местоположение'!$C$22="Прочие инвестиционные проекты",0,VLOOKUP($A$11,'[1]6.2. отчет'!$D:$FX,177,0))</f>
        <v>0</v>
      </c>
      <c r="D42" s="184">
        <f>VLOOKUP($A$11,'[1]6.2. отчет'!$D:$OZ,412,0)</f>
        <v>0</v>
      </c>
      <c r="E42" s="168">
        <f t="shared" si="5"/>
        <v>0</v>
      </c>
      <c r="F42" s="168">
        <v>0</v>
      </c>
      <c r="G42" s="168">
        <f>IF('1. паспорт местоположение'!$C$22="Прочие инвестиционные проекты",0,VLOOKUP($A$11,'[1]6.2. отчет'!$D:$GJ,189,0))</f>
        <v>0</v>
      </c>
      <c r="H42" s="168">
        <f>IF('1. паспорт местоположение'!$C$22="Прочие инвестиционные проекты",0,VLOOKUP($A$11,'[1]6.2. отчет'!$D:$AGO,200,0))</f>
        <v>0</v>
      </c>
      <c r="I42" s="168">
        <f>IF('1. паспорт местоположение'!$C$22="Прочие инвестиционные проекты",0,VLOOKUP($A$11,'[1]6.2. отчет'!$D:$AGO,255,0))</f>
        <v>0</v>
      </c>
      <c r="J42" s="168">
        <f>IF('1. паспорт местоположение'!$C$22="Прочие инвестиционные проекты",0,VLOOKUP($A$11,'[1]6.2. отчет'!$D:$AGO,266,0))</f>
        <v>0</v>
      </c>
      <c r="K42" s="168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8"/>
      <c r="D43" s="184"/>
      <c r="E43" s="168"/>
      <c r="F43" s="168"/>
      <c r="G43" s="168"/>
      <c r="H43" s="168"/>
      <c r="I43" s="169"/>
      <c r="J43" s="168"/>
      <c r="K43" s="169"/>
    </row>
    <row r="44" spans="1:13" s="36" customFormat="1" x14ac:dyDescent="0.25">
      <c r="A44" s="11" t="s">
        <v>91</v>
      </c>
      <c r="B44" s="7" t="s">
        <v>90</v>
      </c>
      <c r="C44" s="168">
        <f>VLOOKUP($A$11,'[1]6.2. отчет'!$D:$FX,168,0)</f>
        <v>0</v>
      </c>
      <c r="D44" s="184">
        <v>0</v>
      </c>
      <c r="E44" s="168">
        <f t="shared" ref="E44:E50" si="6">F44+G44</f>
        <v>0</v>
      </c>
      <c r="F44" s="168">
        <v>0</v>
      </c>
      <c r="G44" s="168">
        <f>VLOOKUP($A$11,'[1]6.2. отчет'!$D:$GJ,180,0)</f>
        <v>0</v>
      </c>
      <c r="H44" s="168">
        <f>VLOOKUP($A$11,'[1]6.2. отчет'!$D:$AGO,191,0)</f>
        <v>0</v>
      </c>
      <c r="I44" s="168">
        <f>VLOOKUP($A$11,'[1]6.2. отчет'!$D:$AGO,246,0)</f>
        <v>0</v>
      </c>
      <c r="J44" s="168">
        <f>VLOOKUP($A$11,'[1]6.2. отчет'!$D:$AGO,257,0)</f>
        <v>0</v>
      </c>
      <c r="K44" s="168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8">
        <f>VLOOKUP($A$11,'[1]6.2. отчет'!$D:$FX,169,0)</f>
        <v>12.6</v>
      </c>
      <c r="D45" s="184">
        <f>VLOOKUP($A$11,'[1]6.2. отчет'!$D:$OZ,410,0)</f>
        <v>12.6</v>
      </c>
      <c r="E45" s="168">
        <f t="shared" si="6"/>
        <v>12.6</v>
      </c>
      <c r="F45" s="168">
        <v>12.6</v>
      </c>
      <c r="G45" s="168">
        <f>VLOOKUP($A$11,'[1]6.2. отчет'!$D:$GJ,181,0)</f>
        <v>0</v>
      </c>
      <c r="H45" s="168">
        <f>VLOOKUP($A$11,'[1]6.2. отчет'!$D:$AGO,192,0)</f>
        <v>12.6</v>
      </c>
      <c r="I45" s="168">
        <f>VLOOKUP($A$11,'[1]6.2. отчет'!$D:$AGO,247,0)</f>
        <v>12.6</v>
      </c>
      <c r="J45" s="168">
        <f>VLOOKUP($A$11,'[1]6.2. отчет'!$D:$AGO,258,0)</f>
        <v>12.6</v>
      </c>
      <c r="K45" s="168">
        <f>VLOOKUP($A$11,'[1]6.2. отчет'!$D:$AGO,313,0)</f>
        <v>12.6</v>
      </c>
    </row>
    <row r="46" spans="1:13" s="36" customFormat="1" x14ac:dyDescent="0.25">
      <c r="A46" s="11" t="s">
        <v>87</v>
      </c>
      <c r="B46" s="7" t="s">
        <v>86</v>
      </c>
      <c r="C46" s="168">
        <f>VLOOKUP($A$11,'[1]6.2. отчет'!$D:$FX,170,0)</f>
        <v>0</v>
      </c>
      <c r="D46" s="184">
        <f>VLOOKUP($A$11,'[1]6.2. отчет'!$D:$OZ,411,0)</f>
        <v>0</v>
      </c>
      <c r="E46" s="168">
        <f t="shared" si="6"/>
        <v>0</v>
      </c>
      <c r="F46" s="168">
        <v>0</v>
      </c>
      <c r="G46" s="168">
        <f>VLOOKUP($A$11,'[1]6.2. отчет'!$D:$GJ,182,0)</f>
        <v>0</v>
      </c>
      <c r="H46" s="168">
        <f>VLOOKUP($A$11,'[1]6.2. отчет'!$D:$AGO,193,0)</f>
        <v>0</v>
      </c>
      <c r="I46" s="168">
        <f>VLOOKUP($A$11,'[1]6.2. отчет'!$D:$AGO,248,0)</f>
        <v>0</v>
      </c>
      <c r="J46" s="168">
        <f>VLOOKUP($A$11,'[1]6.2. отчет'!$D:$AGO,259,0)</f>
        <v>0</v>
      </c>
      <c r="K46" s="168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8">
        <f>VLOOKUP($A$11,'[1]6.2. отчет'!$D:$FX,172,0)</f>
        <v>0</v>
      </c>
      <c r="D47" s="184">
        <f>VLOOKUP($A$11,'[1]6.2. отчет'!$D:$OZ,409,0)</f>
        <v>0</v>
      </c>
      <c r="E47" s="168">
        <f t="shared" si="6"/>
        <v>0</v>
      </c>
      <c r="F47" s="168">
        <v>0</v>
      </c>
      <c r="G47" s="168">
        <f>VLOOKUP($A$11,'[1]6.2. отчет'!$D:$GJ,184,0)</f>
        <v>0</v>
      </c>
      <c r="H47" s="168">
        <f>VLOOKUP($A$11,'[1]6.2. отчет'!$D:$AGO,195,0)</f>
        <v>0</v>
      </c>
      <c r="I47" s="168">
        <f>VLOOKUP($A$11,'[1]6.2. отчет'!$D:$AGO,250,0)</f>
        <v>0</v>
      </c>
      <c r="J47" s="168">
        <f>VLOOKUP($A$11,'[1]6.2. отчет'!$D:$AGO,261,0)</f>
        <v>0</v>
      </c>
      <c r="K47" s="168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8">
        <f>VLOOKUP($A$11,'[1]6.2. отчет'!$D:$FX,173,0)</f>
        <v>0</v>
      </c>
      <c r="D48" s="184">
        <v>0</v>
      </c>
      <c r="E48" s="168">
        <f t="shared" si="6"/>
        <v>0</v>
      </c>
      <c r="F48" s="168">
        <v>0</v>
      </c>
      <c r="G48" s="168">
        <f>VLOOKUP($A$11,'[1]6.2. отчет'!$D:$GJ,185,0)</f>
        <v>0</v>
      </c>
      <c r="H48" s="168">
        <f>VLOOKUP($A$11,'[1]6.2. отчет'!$D:$AGO,196,0)</f>
        <v>0</v>
      </c>
      <c r="I48" s="168">
        <f>VLOOKUP($A$11,'[1]6.2. отчет'!$D:$AGO,251,0)</f>
        <v>0</v>
      </c>
      <c r="J48" s="168">
        <f>VLOOKUP($A$11,'[1]6.2. отчет'!$D:$AGO,262,0)</f>
        <v>0</v>
      </c>
      <c r="K48" s="16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8">
        <f>VLOOKUP($A$11,'[1]6.2. отчет'!$D:$FX,174,0)</f>
        <v>0</v>
      </c>
      <c r="D49" s="184">
        <v>0</v>
      </c>
      <c r="E49" s="168">
        <f t="shared" si="6"/>
        <v>0</v>
      </c>
      <c r="F49" s="168">
        <v>0</v>
      </c>
      <c r="G49" s="168">
        <f>VLOOKUP($A$11,'[1]6.2. отчет'!$D:$GJ,186,0)</f>
        <v>0</v>
      </c>
      <c r="H49" s="168">
        <f>VLOOKUP($A$11,'[1]6.2. отчет'!$D:$AGO,197,0)</f>
        <v>0</v>
      </c>
      <c r="I49" s="168">
        <f>VLOOKUP($A$11,'[1]6.2. отчет'!$D:$AGO,252,0)</f>
        <v>0</v>
      </c>
      <c r="J49" s="168">
        <f>VLOOKUP($A$11,'[1]6.2. отчет'!$D:$AGO,263,0)</f>
        <v>0</v>
      </c>
      <c r="K49" s="168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450</v>
      </c>
      <c r="C50" s="168">
        <f>VLOOKUP($A$11,'[1]6.2. отчет'!$D:$FX,175,0)</f>
        <v>0</v>
      </c>
      <c r="D50" s="184">
        <f>VLOOKUP($A$11,'[1]6.2. отчет'!$D:$OZ,412,0)</f>
        <v>0</v>
      </c>
      <c r="E50" s="168">
        <f t="shared" si="6"/>
        <v>0</v>
      </c>
      <c r="F50" s="168">
        <v>0</v>
      </c>
      <c r="G50" s="168">
        <f>VLOOKUP($A$11,'[1]6.2. отчет'!$D:$GJ,187,0)</f>
        <v>0</v>
      </c>
      <c r="H50" s="168">
        <f>VLOOKUP($A$11,'[1]6.2. отчет'!$D:$AGO,198,0)</f>
        <v>0</v>
      </c>
      <c r="I50" s="168">
        <f>VLOOKUP($A$11,'[1]6.2. отчет'!$D:$AGO,253,0)</f>
        <v>0</v>
      </c>
      <c r="J50" s="168">
        <f>VLOOKUP($A$11,'[1]6.2. отчет'!$D:$AGO,264,0)</f>
        <v>0</v>
      </c>
      <c r="K50" s="168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8"/>
      <c r="D51" s="184"/>
      <c r="E51" s="168"/>
      <c r="F51" s="168"/>
      <c r="G51" s="168"/>
      <c r="H51" s="168"/>
      <c r="I51" s="168"/>
      <c r="J51" s="168"/>
      <c r="K51" s="168"/>
    </row>
    <row r="52" spans="1:11" s="93" customFormat="1" ht="35.25" customHeight="1" x14ac:dyDescent="0.25">
      <c r="A52" s="11" t="s">
        <v>77</v>
      </c>
      <c r="B52" s="7" t="s">
        <v>76</v>
      </c>
      <c r="C52" s="168">
        <f>VLOOKUP($A$11,'[1]6.2. отчет'!$D:$FX,167,0)</f>
        <v>198.41859333333332</v>
      </c>
      <c r="D52" s="184">
        <f>VLOOKUP($A$11,'[1]6.2. отчет'!$D:$OZ,413,0)</f>
        <v>173.476393</v>
      </c>
      <c r="E52" s="168">
        <f t="shared" ref="E52:E57" si="7">F52+G52</f>
        <v>198.41859333333335</v>
      </c>
      <c r="F52" s="168">
        <v>198.41859333333335</v>
      </c>
      <c r="G52" s="168">
        <f>VLOOKUP($A$11,'[1]6.2. отчет'!$D:$GJ,179,0)</f>
        <v>0</v>
      </c>
      <c r="H52" s="168">
        <f>VLOOKUP($A$11,'[1]6.2. отчет'!$D:$AGO,190,0)</f>
        <v>198.41859333333335</v>
      </c>
      <c r="I52" s="168">
        <f>VLOOKUP($A$11,'[1]6.2. отчет'!$D:$AGO,245,0)</f>
        <v>198.41859333333335</v>
      </c>
      <c r="J52" s="168">
        <f>VLOOKUP($A$11,'[1]6.2. отчет'!$D:$AGO,256,0)</f>
        <v>173.476393</v>
      </c>
      <c r="K52" s="168">
        <f>VLOOKUP($A$11,'[1]6.2. отчет'!$D:$AGO,311,0)</f>
        <v>173.476393</v>
      </c>
    </row>
    <row r="53" spans="1:11" s="36" customFormat="1" ht="26.25" customHeight="1" x14ac:dyDescent="0.25">
      <c r="A53" s="11" t="s">
        <v>75</v>
      </c>
      <c r="B53" s="7" t="s">
        <v>69</v>
      </c>
      <c r="C53" s="168">
        <f>VLOOKUP($A$11,'[1]6.2. отчет'!$D:$FX,168,0)</f>
        <v>0</v>
      </c>
      <c r="D53" s="184">
        <v>0</v>
      </c>
      <c r="E53" s="168">
        <f t="shared" si="7"/>
        <v>0</v>
      </c>
      <c r="F53" s="168">
        <v>0</v>
      </c>
      <c r="G53" s="168">
        <f>VLOOKUP($A$11,'[1]6.2. отчет'!$D:$GJ,180,0)</f>
        <v>0</v>
      </c>
      <c r="H53" s="168">
        <f>VLOOKUP($A$11,'[1]6.2. отчет'!$D:$AGO,191,0)</f>
        <v>0</v>
      </c>
      <c r="I53" s="168">
        <f>VLOOKUP($A$11,'[1]6.2. отчет'!$D:$AGO,246,0)</f>
        <v>0</v>
      </c>
      <c r="J53" s="168">
        <f>VLOOKUP($A$11,'[1]6.2. отчет'!$D:$AGO,257,0)</f>
        <v>0</v>
      </c>
      <c r="K53" s="168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8">
        <f>VLOOKUP($A$11,'[1]6.2. отчет'!$D:$FX,169,0)</f>
        <v>12.6</v>
      </c>
      <c r="D54" s="184">
        <f>VLOOKUP($A$11,'[1]6.2. отчет'!$D:$OZ,410,0)</f>
        <v>12.6</v>
      </c>
      <c r="E54" s="168">
        <f t="shared" si="7"/>
        <v>12.6</v>
      </c>
      <c r="F54" s="168">
        <v>12.6</v>
      </c>
      <c r="G54" s="168">
        <f>VLOOKUP($A$11,'[1]6.2. отчет'!$D:$GJ,181,0)</f>
        <v>0</v>
      </c>
      <c r="H54" s="168">
        <f>VLOOKUP($A$11,'[1]6.2. отчет'!$D:$AGO,192,0)</f>
        <v>12.6</v>
      </c>
      <c r="I54" s="168">
        <f>VLOOKUP($A$11,'[1]6.2. отчет'!$D:$AGO,247,0)</f>
        <v>12.6</v>
      </c>
      <c r="J54" s="168">
        <f>VLOOKUP($A$11,'[1]6.2. отчет'!$D:$AGO,258,0)</f>
        <v>12.6</v>
      </c>
      <c r="K54" s="168">
        <f>VLOOKUP($A$11,'[1]6.2. отчет'!$D:$AGO,313,0)</f>
        <v>12.6</v>
      </c>
    </row>
    <row r="55" spans="1:11" s="36" customFormat="1" x14ac:dyDescent="0.25">
      <c r="A55" s="11" t="s">
        <v>73</v>
      </c>
      <c r="B55" s="56" t="s">
        <v>67</v>
      </c>
      <c r="C55" s="168">
        <f>VLOOKUP($A$11,'[1]6.2. отчет'!$D:$FX,170,0)</f>
        <v>0</v>
      </c>
      <c r="D55" s="184">
        <f>VLOOKUP($A$11,'[1]6.2. отчет'!$D:$OZ,411,0)</f>
        <v>0</v>
      </c>
      <c r="E55" s="168">
        <f t="shared" si="7"/>
        <v>0</v>
      </c>
      <c r="F55" s="168">
        <v>0</v>
      </c>
      <c r="G55" s="168">
        <f>VLOOKUP($A$11,'[1]6.2. отчет'!$D:$GJ,182,0)</f>
        <v>0</v>
      </c>
      <c r="H55" s="168">
        <f>VLOOKUP($A$11,'[1]6.2. отчет'!$D:$AGO,193,0)</f>
        <v>0</v>
      </c>
      <c r="I55" s="168">
        <f>VLOOKUP($A$11,'[1]6.2. отчет'!$D:$AGO,248,0)</f>
        <v>0</v>
      </c>
      <c r="J55" s="168">
        <f>VLOOKUP($A$11,'[1]6.2. отчет'!$D:$AGO,259,0)</f>
        <v>0</v>
      </c>
      <c r="K55" s="168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8">
        <f>VLOOKUP($A$11,'[1]6.2. отчет'!$D:$FX,171,0)</f>
        <v>0</v>
      </c>
      <c r="D56" s="184">
        <f>VLOOKUP($A$11,'[1]6.2. отчет'!$D:$OZ,409,0)</f>
        <v>0</v>
      </c>
      <c r="E56" s="168">
        <f t="shared" si="7"/>
        <v>0</v>
      </c>
      <c r="F56" s="168">
        <v>0</v>
      </c>
      <c r="G56" s="168">
        <f>VLOOKUP($A$11,'[1]6.2. отчет'!$D:$GJ,183,0)</f>
        <v>0</v>
      </c>
      <c r="H56" s="168">
        <f>VLOOKUP($A$11,'[1]6.2. отчет'!$D:$AGO,194,0)</f>
        <v>0</v>
      </c>
      <c r="I56" s="168">
        <f>VLOOKUP($A$11,'[1]6.2. отчет'!$D:$AGO,249,0)</f>
        <v>0</v>
      </c>
      <c r="J56" s="168">
        <f>VLOOKUP($A$11,'[1]6.2. отчет'!$D:$AGO,260,0)</f>
        <v>0</v>
      </c>
      <c r="K56" s="168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450</v>
      </c>
      <c r="C57" s="168">
        <f>VLOOKUP($A$11,'[1]6.2. отчет'!$D:$FX,175,0)</f>
        <v>0</v>
      </c>
      <c r="D57" s="184">
        <f>VLOOKUP($A$11,'[1]6.2. отчет'!$D:$OZ,412,0)</f>
        <v>0</v>
      </c>
      <c r="E57" s="168">
        <f t="shared" si="7"/>
        <v>0</v>
      </c>
      <c r="F57" s="168">
        <v>0</v>
      </c>
      <c r="G57" s="168">
        <f>VLOOKUP($A$11,'[1]6.2. отчет'!$D:$GJ,187,0)</f>
        <v>0</v>
      </c>
      <c r="H57" s="168">
        <f>VLOOKUP($A$11,'[1]6.2. отчет'!$D:$AGO,198,0)</f>
        <v>0</v>
      </c>
      <c r="I57" s="168">
        <f>VLOOKUP($A$11,'[1]6.2. отчет'!$D:$AGO,253,0)</f>
        <v>0</v>
      </c>
      <c r="J57" s="168">
        <f>VLOOKUP($A$11,'[1]6.2. отчет'!$D:$AGO,264,0)</f>
        <v>0</v>
      </c>
      <c r="K57" s="168">
        <f>VLOOKUP($A$11,'[1]6.2. отчет'!$D:$AGO,319,0)</f>
        <v>0</v>
      </c>
    </row>
    <row r="58" spans="1:11" s="36" customFormat="1" ht="31.5" x14ac:dyDescent="0.25">
      <c r="A58" s="13" t="s">
        <v>47</v>
      </c>
      <c r="B58" s="59" t="s">
        <v>165</v>
      </c>
      <c r="C58" s="168"/>
      <c r="D58" s="168"/>
      <c r="E58" s="168"/>
      <c r="F58" s="168"/>
      <c r="G58" s="168"/>
      <c r="H58" s="168"/>
      <c r="I58" s="168"/>
      <c r="J58" s="168"/>
      <c r="K58" s="168"/>
    </row>
    <row r="59" spans="1:11" s="36" customFormat="1" x14ac:dyDescent="0.25">
      <c r="A59" s="13" t="s">
        <v>45</v>
      </c>
      <c r="B59" s="12" t="s">
        <v>70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s="93" customFormat="1" ht="36.75" customHeight="1" x14ac:dyDescent="0.25">
      <c r="A60" s="11" t="s">
        <v>159</v>
      </c>
      <c r="B60" s="178" t="s">
        <v>90</v>
      </c>
      <c r="C60" s="168">
        <f>VLOOKUP($A$11,'[1]6.2. отчет'!$D:$AGO,326,0)</f>
        <v>0</v>
      </c>
      <c r="D60" s="168">
        <f t="shared" ref="D60:D64" si="8">J60</f>
        <v>0</v>
      </c>
      <c r="E60" s="168">
        <f t="shared" ref="E60:E64" si="9">F60+G60</f>
        <v>0</v>
      </c>
      <c r="F60" s="168">
        <f t="shared" ref="F60:F64" si="10">C60</f>
        <v>0</v>
      </c>
      <c r="G60" s="168">
        <f>VLOOKUP($A$11,'[1]6.2. отчет'!$D:$AGO,333,0)</f>
        <v>0</v>
      </c>
      <c r="H60" s="168">
        <f>VLOOKUP($A$11,'[1]6.2. отчет'!$D:$AGO,341,0)</f>
        <v>0</v>
      </c>
      <c r="I60" s="168">
        <f>VLOOKUP($A$11,'[1]6.2. отчет'!$D:$AGO,366,0)</f>
        <v>0</v>
      </c>
      <c r="J60" s="168">
        <f>VLOOKUP($A$11,'[1]6.2. отчет'!$D:$AGO,371,0)</f>
        <v>0</v>
      </c>
      <c r="K60" s="168">
        <f>VLOOKUP($A$11,'[1]6.2. отчет'!$D:$AGO,396,0)</f>
        <v>0</v>
      </c>
    </row>
    <row r="61" spans="1:11" s="36" customFormat="1" x14ac:dyDescent="0.25">
      <c r="A61" s="11" t="s">
        <v>160</v>
      </c>
      <c r="B61" s="178" t="s">
        <v>88</v>
      </c>
      <c r="C61" s="168">
        <f>VLOOKUP($A$11,'[1]6.2. отчет'!$D:$AGO,327,0)</f>
        <v>0</v>
      </c>
      <c r="D61" s="168">
        <f t="shared" si="8"/>
        <v>0</v>
      </c>
      <c r="E61" s="168">
        <f t="shared" si="9"/>
        <v>0</v>
      </c>
      <c r="F61" s="168">
        <f t="shared" si="10"/>
        <v>0</v>
      </c>
      <c r="G61" s="168">
        <f>VLOOKUP($A$11,'[1]6.2. отчет'!$D:$AGO,334,0)</f>
        <v>0</v>
      </c>
      <c r="H61" s="168">
        <f>VLOOKUP($A$11,'[1]6.2. отчет'!$D:$AGO,338,0)</f>
        <v>0</v>
      </c>
      <c r="I61" s="168">
        <f>VLOOKUP($A$11,'[1]6.2. отчет'!$D:$AGO,363,0)</f>
        <v>0</v>
      </c>
      <c r="J61" s="168">
        <f>VLOOKUP($A$11,'[1]6.2. отчет'!$D:$AGO,368,0)</f>
        <v>0</v>
      </c>
      <c r="K61" s="168">
        <f>VLOOKUP($A$11,'[1]6.2. отчет'!$D:$AGO,393,0)</f>
        <v>0</v>
      </c>
    </row>
    <row r="62" spans="1:11" s="36" customFormat="1" x14ac:dyDescent="0.25">
      <c r="A62" s="11" t="s">
        <v>161</v>
      </c>
      <c r="B62" s="178" t="s">
        <v>86</v>
      </c>
      <c r="C62" s="168">
        <f>VLOOKUP($A$11,'[1]6.2. отчет'!$D:$AGO,328,0)</f>
        <v>0</v>
      </c>
      <c r="D62" s="168">
        <f t="shared" si="8"/>
        <v>0</v>
      </c>
      <c r="E62" s="168">
        <f t="shared" si="9"/>
        <v>0</v>
      </c>
      <c r="F62" s="168">
        <f t="shared" si="10"/>
        <v>0</v>
      </c>
      <c r="G62" s="168">
        <f>VLOOKUP($A$11,'[1]6.2. отчет'!$D:$AGO,335,0)</f>
        <v>0</v>
      </c>
      <c r="H62" s="168">
        <f>VLOOKUP($A$11,'[1]6.2. отчет'!$D:$AGO,339,0)</f>
        <v>0</v>
      </c>
      <c r="I62" s="168">
        <f>VLOOKUP($A$11,'[1]6.2. отчет'!$D:$AGO,364,0)</f>
        <v>0</v>
      </c>
      <c r="J62" s="168">
        <f>VLOOKUP($A$11,'[1]6.2. отчет'!$D:$AGO,369,0)</f>
        <v>0</v>
      </c>
      <c r="K62" s="168">
        <f>VLOOKUP($A$11,'[1]6.2. отчет'!$D:$AGO,394,0)</f>
        <v>0</v>
      </c>
    </row>
    <row r="63" spans="1:11" s="36" customFormat="1" x14ac:dyDescent="0.25">
      <c r="A63" s="11" t="s">
        <v>162</v>
      </c>
      <c r="B63" s="178" t="s">
        <v>164</v>
      </c>
      <c r="C63" s="168">
        <f>VLOOKUP($A$11,'[1]6.2. отчет'!$D:$AGO,329,0)</f>
        <v>0</v>
      </c>
      <c r="D63" s="168">
        <f t="shared" si="8"/>
        <v>0</v>
      </c>
      <c r="E63" s="168">
        <f t="shared" si="9"/>
        <v>0</v>
      </c>
      <c r="F63" s="168">
        <f t="shared" si="10"/>
        <v>0</v>
      </c>
      <c r="G63" s="168">
        <f>VLOOKUP($A$11,'[1]6.2. отчет'!$D:$AGO,336,0)</f>
        <v>0</v>
      </c>
      <c r="H63" s="168">
        <f>VLOOKUP($A$11,'[1]6.2. отчет'!$D:$AGO,340,0)</f>
        <v>0</v>
      </c>
      <c r="I63" s="168">
        <f>VLOOKUP($A$11,'[1]6.2. отчет'!$D:$AGO,365,0)</f>
        <v>0</v>
      </c>
      <c r="J63" s="168">
        <f>VLOOKUP($A$11,'[1]6.2. отчет'!$D:$AGO,370,0)</f>
        <v>0</v>
      </c>
      <c r="K63" s="168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8">
        <f>VLOOKUP($A$11,'[1]6.2. отчет'!$D:$AGO,330,0)</f>
        <v>0</v>
      </c>
      <c r="D64" s="168">
        <f t="shared" si="8"/>
        <v>0</v>
      </c>
      <c r="E64" s="168">
        <f t="shared" si="9"/>
        <v>0</v>
      </c>
      <c r="F64" s="168">
        <f t="shared" si="10"/>
        <v>0</v>
      </c>
      <c r="G64" s="168">
        <f>VLOOKUP($A$11,'[1]6.2. отчет'!$D:$AGO,337,0)</f>
        <v>0</v>
      </c>
      <c r="H64" s="168">
        <f>VLOOKUP($A$11,'[1]6.2. отчет'!$D:$AGO,342,0)</f>
        <v>0</v>
      </c>
      <c r="I64" s="168">
        <f>VLOOKUP($A$11,'[1]6.2. отчет'!$D:$AGO,367,0)</f>
        <v>0</v>
      </c>
      <c r="J64" s="168">
        <f>VLOOKUP($A$11,'[1]6.2. отчет'!$D:$AGO,372,0)</f>
        <v>0</v>
      </c>
      <c r="K64" s="168">
        <f>VLOOKUP($A$11,'[1]6.2. отчет'!$D:$AGO,396,0)</f>
        <v>0</v>
      </c>
    </row>
    <row r="66" spans="2:11" ht="50.25" customHeight="1" x14ac:dyDescent="0.25">
      <c r="B66" s="294"/>
      <c r="C66" s="294"/>
      <c r="D66" s="294"/>
      <c r="E66" s="294"/>
      <c r="F66" s="294"/>
      <c r="G66" s="294"/>
      <c r="H66" s="294"/>
      <c r="I66" s="294"/>
      <c r="J66" s="294"/>
      <c r="K66" s="294"/>
    </row>
    <row r="68" spans="2:11" ht="36.75" customHeight="1" x14ac:dyDescent="0.25">
      <c r="B68" s="295"/>
      <c r="C68" s="295"/>
      <c r="D68" s="295"/>
      <c r="E68" s="295"/>
      <c r="F68" s="295"/>
      <c r="G68" s="295"/>
      <c r="H68" s="295"/>
      <c r="I68" s="295"/>
      <c r="J68" s="295"/>
      <c r="K68" s="295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95"/>
      <c r="C70" s="295"/>
      <c r="D70" s="295"/>
      <c r="E70" s="295"/>
      <c r="F70" s="295"/>
      <c r="G70" s="295"/>
      <c r="H70" s="295"/>
      <c r="I70" s="295"/>
      <c r="J70" s="295"/>
      <c r="K70" s="295"/>
    </row>
    <row r="71" spans="2:11" ht="32.25" customHeight="1" x14ac:dyDescent="0.25">
      <c r="B71" s="294"/>
      <c r="C71" s="294"/>
      <c r="D71" s="294"/>
      <c r="E71" s="294"/>
      <c r="F71" s="294"/>
      <c r="G71" s="294"/>
      <c r="H71" s="294"/>
      <c r="I71" s="294"/>
      <c r="J71" s="294"/>
      <c r="K71" s="294"/>
    </row>
    <row r="72" spans="2:11" ht="51.75" customHeight="1" x14ac:dyDescent="0.25">
      <c r="B72" s="295"/>
      <c r="C72" s="295"/>
      <c r="D72" s="295"/>
      <c r="E72" s="295"/>
      <c r="F72" s="295"/>
      <c r="G72" s="295"/>
      <c r="H72" s="295"/>
      <c r="I72" s="295"/>
      <c r="J72" s="295"/>
      <c r="K72" s="295"/>
    </row>
    <row r="73" spans="2:11" ht="21.75" customHeight="1" x14ac:dyDescent="0.25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93"/>
      <c r="C75" s="293"/>
      <c r="D75" s="293"/>
      <c r="E75" s="293"/>
      <c r="F75" s="293"/>
      <c r="G75" s="293"/>
      <c r="H75" s="293"/>
      <c r="I75" s="293"/>
      <c r="J75" s="293"/>
      <c r="K75" s="293"/>
    </row>
  </sheetData>
  <mergeCells count="25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7" zoomScale="70" zoomScaleNormal="100" zoomScaleSheetLayoutView="70" workbookViewId="0">
      <selection activeCell="AF31" sqref="AF31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11.710937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47.14062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27" t="str">
        <f>'1. паспорт местоположение'!$A$5</f>
        <v>Год раскрытия информации: 2025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</row>
    <row r="6" spans="1:48" ht="18.75" x14ac:dyDescent="0.3">
      <c r="AV6" s="27"/>
    </row>
    <row r="7" spans="1:48" ht="18.75" x14ac:dyDescent="0.25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</row>
    <row r="8" spans="1:48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</row>
    <row r="9" spans="1:48" ht="15.75" x14ac:dyDescent="0.25">
      <c r="A9" s="232" t="s">
        <v>287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48" ht="15.75" x14ac:dyDescent="0.25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</row>
    <row r="11" spans="1:48" ht="18.75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</row>
    <row r="12" spans="1:48" ht="15.75" x14ac:dyDescent="0.25">
      <c r="A12" s="232" t="str">
        <f>'6.2. Паспорт фин осв ввод'!A11:K11</f>
        <v>M_Che427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</row>
    <row r="13" spans="1:48" ht="15.75" x14ac:dyDescent="0.25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</row>
    <row r="14" spans="1:48" ht="18.75" x14ac:dyDescent="0.25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42"/>
      <c r="AN14" s="242"/>
      <c r="AO14" s="242"/>
      <c r="AP14" s="242"/>
      <c r="AQ14" s="242"/>
      <c r="AR14" s="242"/>
      <c r="AS14" s="242"/>
      <c r="AT14" s="242"/>
      <c r="AU14" s="242"/>
      <c r="AV14" s="242"/>
    </row>
    <row r="15" spans="1:48" ht="15.75" x14ac:dyDescent="0.25">
      <c r="A15" s="232" t="str">
        <f>'6.2. Паспорт фин осв ввод'!A14:K14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</row>
    <row r="16" spans="1:48" ht="15.75" x14ac:dyDescent="0.25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</row>
    <row r="17" spans="1:48" x14ac:dyDescent="0.25">
      <c r="A17" s="332"/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  <c r="AM17" s="332"/>
      <c r="AN17" s="332"/>
      <c r="AO17" s="332"/>
      <c r="AP17" s="332"/>
      <c r="AQ17" s="332"/>
      <c r="AR17" s="332"/>
      <c r="AS17" s="332"/>
      <c r="AT17" s="332"/>
      <c r="AU17" s="332"/>
      <c r="AV17" s="332"/>
    </row>
    <row r="18" spans="1:48" ht="14.25" customHeight="1" x14ac:dyDescent="0.25">
      <c r="A18" s="332"/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  <c r="AM18" s="332"/>
      <c r="AN18" s="332"/>
      <c r="AO18" s="332"/>
      <c r="AP18" s="332"/>
      <c r="AQ18" s="332"/>
      <c r="AR18" s="332"/>
      <c r="AS18" s="332"/>
      <c r="AT18" s="332"/>
      <c r="AU18" s="332"/>
      <c r="AV18" s="332"/>
    </row>
    <row r="19" spans="1:48" x14ac:dyDescent="0.25">
      <c r="A19" s="332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2"/>
      <c r="AF19" s="332"/>
      <c r="AG19" s="332"/>
      <c r="AH19" s="332"/>
      <c r="AI19" s="332"/>
      <c r="AJ19" s="332"/>
      <c r="AK19" s="332"/>
      <c r="AL19" s="332"/>
      <c r="AM19" s="332"/>
      <c r="AN19" s="332"/>
      <c r="AO19" s="332"/>
      <c r="AP19" s="332"/>
      <c r="AQ19" s="332"/>
      <c r="AR19" s="332"/>
      <c r="AS19" s="332"/>
      <c r="AT19" s="332"/>
      <c r="AU19" s="332"/>
      <c r="AV19" s="332"/>
    </row>
    <row r="20" spans="1:48" x14ac:dyDescent="0.25">
      <c r="A20" s="332"/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332"/>
      <c r="AL20" s="332"/>
      <c r="AM20" s="332"/>
      <c r="AN20" s="332"/>
      <c r="AO20" s="332"/>
      <c r="AP20" s="332"/>
      <c r="AQ20" s="332"/>
      <c r="AR20" s="332"/>
      <c r="AS20" s="332"/>
      <c r="AT20" s="332"/>
      <c r="AU20" s="332"/>
      <c r="AV20" s="332"/>
    </row>
    <row r="21" spans="1:48" x14ac:dyDescent="0.25">
      <c r="A21" s="338" t="s">
        <v>277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338"/>
      <c r="AD21" s="338"/>
      <c r="AE21" s="338"/>
      <c r="AF21" s="338"/>
      <c r="AG21" s="338"/>
      <c r="AH21" s="338"/>
      <c r="AI21" s="338"/>
      <c r="AJ21" s="338"/>
      <c r="AK21" s="338"/>
      <c r="AL21" s="338"/>
      <c r="AM21" s="338"/>
      <c r="AN21" s="338"/>
      <c r="AO21" s="338"/>
      <c r="AP21" s="338"/>
      <c r="AQ21" s="338"/>
      <c r="AR21" s="338"/>
      <c r="AS21" s="338"/>
      <c r="AT21" s="338"/>
      <c r="AU21" s="338"/>
      <c r="AV21" s="338"/>
    </row>
    <row r="22" spans="1:48" s="90" customFormat="1" ht="58.5" customHeight="1" x14ac:dyDescent="0.25">
      <c r="A22" s="316" t="s">
        <v>41</v>
      </c>
      <c r="B22" s="339" t="s">
        <v>14</v>
      </c>
      <c r="C22" s="316" t="s">
        <v>40</v>
      </c>
      <c r="D22" s="316" t="s">
        <v>39</v>
      </c>
      <c r="E22" s="342" t="s">
        <v>283</v>
      </c>
      <c r="F22" s="343"/>
      <c r="G22" s="343"/>
      <c r="H22" s="343"/>
      <c r="I22" s="343"/>
      <c r="J22" s="343"/>
      <c r="K22" s="343"/>
      <c r="L22" s="344"/>
      <c r="M22" s="316" t="s">
        <v>38</v>
      </c>
      <c r="N22" s="316" t="s">
        <v>37</v>
      </c>
      <c r="O22" s="316" t="s">
        <v>36</v>
      </c>
      <c r="P22" s="318" t="s">
        <v>168</v>
      </c>
      <c r="Q22" s="318" t="s">
        <v>35</v>
      </c>
      <c r="R22" s="318" t="s">
        <v>34</v>
      </c>
      <c r="S22" s="318" t="s">
        <v>33</v>
      </c>
      <c r="T22" s="318"/>
      <c r="U22" s="323" t="s">
        <v>32</v>
      </c>
      <c r="V22" s="323" t="s">
        <v>31</v>
      </c>
      <c r="W22" s="318" t="s">
        <v>30</v>
      </c>
      <c r="X22" s="318" t="s">
        <v>29</v>
      </c>
      <c r="Y22" s="318" t="s">
        <v>28</v>
      </c>
      <c r="Z22" s="326" t="s">
        <v>27</v>
      </c>
      <c r="AA22" s="318" t="s">
        <v>26</v>
      </c>
      <c r="AB22" s="318" t="s">
        <v>25</v>
      </c>
      <c r="AC22" s="318" t="s">
        <v>24</v>
      </c>
      <c r="AD22" s="318" t="s">
        <v>23</v>
      </c>
      <c r="AE22" s="318" t="s">
        <v>22</v>
      </c>
      <c r="AF22" s="318" t="s">
        <v>21</v>
      </c>
      <c r="AG22" s="318"/>
      <c r="AH22" s="318"/>
      <c r="AI22" s="318"/>
      <c r="AJ22" s="318"/>
      <c r="AK22" s="318"/>
      <c r="AL22" s="319" t="s">
        <v>460</v>
      </c>
      <c r="AM22" s="319"/>
      <c r="AN22" s="319"/>
      <c r="AO22" s="319"/>
      <c r="AP22" s="318" t="s">
        <v>20</v>
      </c>
      <c r="AQ22" s="318"/>
      <c r="AR22" s="318" t="s">
        <v>19</v>
      </c>
      <c r="AS22" s="318" t="s">
        <v>18</v>
      </c>
      <c r="AT22" s="318" t="s">
        <v>17</v>
      </c>
      <c r="AU22" s="318" t="s">
        <v>16</v>
      </c>
      <c r="AV22" s="318" t="s">
        <v>15</v>
      </c>
    </row>
    <row r="23" spans="1:48" s="90" customFormat="1" ht="64.5" customHeight="1" x14ac:dyDescent="0.25">
      <c r="A23" s="322"/>
      <c r="B23" s="340"/>
      <c r="C23" s="322"/>
      <c r="D23" s="322"/>
      <c r="E23" s="336" t="s">
        <v>13</v>
      </c>
      <c r="F23" s="314" t="s">
        <v>69</v>
      </c>
      <c r="G23" s="314" t="s">
        <v>68</v>
      </c>
      <c r="H23" s="314" t="s">
        <v>67</v>
      </c>
      <c r="I23" s="324" t="s">
        <v>222</v>
      </c>
      <c r="J23" s="324" t="s">
        <v>223</v>
      </c>
      <c r="K23" s="324" t="s">
        <v>224</v>
      </c>
      <c r="L23" s="314" t="s">
        <v>64</v>
      </c>
      <c r="M23" s="322"/>
      <c r="N23" s="322"/>
      <c r="O23" s="322"/>
      <c r="P23" s="318"/>
      <c r="Q23" s="318"/>
      <c r="R23" s="318"/>
      <c r="S23" s="316" t="s">
        <v>0</v>
      </c>
      <c r="T23" s="316" t="s">
        <v>7</v>
      </c>
      <c r="U23" s="323"/>
      <c r="V23" s="323"/>
      <c r="W23" s="318"/>
      <c r="X23" s="318"/>
      <c r="Y23" s="318"/>
      <c r="Z23" s="318"/>
      <c r="AA23" s="318"/>
      <c r="AB23" s="318"/>
      <c r="AC23" s="318"/>
      <c r="AD23" s="318"/>
      <c r="AE23" s="318"/>
      <c r="AF23" s="318" t="s">
        <v>12</v>
      </c>
      <c r="AG23" s="318"/>
      <c r="AH23" s="319" t="s">
        <v>461</v>
      </c>
      <c r="AI23" s="319"/>
      <c r="AJ23" s="320" t="s">
        <v>462</v>
      </c>
      <c r="AK23" s="316" t="s">
        <v>11</v>
      </c>
      <c r="AL23" s="320" t="s">
        <v>463</v>
      </c>
      <c r="AM23" s="320" t="s">
        <v>464</v>
      </c>
      <c r="AN23" s="320" t="s">
        <v>465</v>
      </c>
      <c r="AO23" s="320" t="s">
        <v>466</v>
      </c>
      <c r="AP23" s="316" t="s">
        <v>10</v>
      </c>
      <c r="AQ23" s="327" t="s">
        <v>7</v>
      </c>
      <c r="AR23" s="318"/>
      <c r="AS23" s="318"/>
      <c r="AT23" s="318"/>
      <c r="AU23" s="318"/>
      <c r="AV23" s="318"/>
    </row>
    <row r="24" spans="1:48" s="90" customFormat="1" ht="96.75" customHeight="1" x14ac:dyDescent="0.25">
      <c r="A24" s="317"/>
      <c r="B24" s="341"/>
      <c r="C24" s="317"/>
      <c r="D24" s="317"/>
      <c r="E24" s="337"/>
      <c r="F24" s="315"/>
      <c r="G24" s="315"/>
      <c r="H24" s="315"/>
      <c r="I24" s="325"/>
      <c r="J24" s="325"/>
      <c r="K24" s="325"/>
      <c r="L24" s="315"/>
      <c r="M24" s="317"/>
      <c r="N24" s="317"/>
      <c r="O24" s="317"/>
      <c r="P24" s="318"/>
      <c r="Q24" s="318"/>
      <c r="R24" s="318"/>
      <c r="S24" s="317"/>
      <c r="T24" s="317"/>
      <c r="U24" s="323"/>
      <c r="V24" s="323"/>
      <c r="W24" s="318"/>
      <c r="X24" s="318"/>
      <c r="Y24" s="318"/>
      <c r="Z24" s="318"/>
      <c r="AA24" s="318"/>
      <c r="AB24" s="318"/>
      <c r="AC24" s="318"/>
      <c r="AD24" s="318"/>
      <c r="AE24" s="318"/>
      <c r="AF24" s="91" t="s">
        <v>9</v>
      </c>
      <c r="AG24" s="91" t="s">
        <v>8</v>
      </c>
      <c r="AH24" s="163" t="s">
        <v>0</v>
      </c>
      <c r="AI24" s="163" t="s">
        <v>7</v>
      </c>
      <c r="AJ24" s="321"/>
      <c r="AK24" s="317"/>
      <c r="AL24" s="321"/>
      <c r="AM24" s="321"/>
      <c r="AN24" s="321"/>
      <c r="AO24" s="321"/>
      <c r="AP24" s="317"/>
      <c r="AQ24" s="328"/>
      <c r="AR24" s="318"/>
      <c r="AS24" s="318"/>
      <c r="AT24" s="318"/>
      <c r="AU24" s="318"/>
      <c r="AV24" s="318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S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ref="T25" si="1">S25+1</f>
        <v>21</v>
      </c>
      <c r="U25" s="92">
        <f t="shared" ref="U25" si="2">T25+1</f>
        <v>22</v>
      </c>
      <c r="V25" s="92">
        <f t="shared" ref="V25" si="3">U25+1</f>
        <v>23</v>
      </c>
      <c r="W25" s="92">
        <f t="shared" ref="W25" si="4">V25+1</f>
        <v>24</v>
      </c>
      <c r="X25" s="92">
        <f t="shared" ref="X25" si="5">W25+1</f>
        <v>25</v>
      </c>
      <c r="Y25" s="92">
        <f t="shared" ref="Y25" si="6">X25+1</f>
        <v>26</v>
      </c>
      <c r="Z25" s="92">
        <f t="shared" ref="Z25" si="7">Y25+1</f>
        <v>27</v>
      </c>
      <c r="AA25" s="92">
        <f t="shared" ref="AA25" si="8">Z25+1</f>
        <v>28</v>
      </c>
      <c r="AB25" s="92">
        <f t="shared" ref="AB25" si="9">AA25+1</f>
        <v>29</v>
      </c>
      <c r="AC25" s="92">
        <f t="shared" ref="AC25" si="10">AB25+1</f>
        <v>30</v>
      </c>
      <c r="AD25" s="92">
        <f t="shared" ref="AD25" si="11">AC25+1</f>
        <v>31</v>
      </c>
      <c r="AE25" s="92">
        <f t="shared" ref="AE25" si="12">AD25+1</f>
        <v>32</v>
      </c>
      <c r="AF25" s="92">
        <f t="shared" ref="AF25" si="13">AE25+1</f>
        <v>33</v>
      </c>
      <c r="AG25" s="92">
        <f t="shared" ref="AG25" si="14">AF25+1</f>
        <v>34</v>
      </c>
      <c r="AH25" s="92">
        <f t="shared" ref="AH25" si="15">AG25+1</f>
        <v>35</v>
      </c>
      <c r="AI25" s="92">
        <f t="shared" ref="AI25" si="16">AH25+1</f>
        <v>36</v>
      </c>
      <c r="AJ25" s="92">
        <f t="shared" ref="AJ25" si="17">AI25+1</f>
        <v>37</v>
      </c>
      <c r="AK25" s="92">
        <f t="shared" ref="AK25" si="18">AJ25+1</f>
        <v>38</v>
      </c>
      <c r="AL25" s="92">
        <f t="shared" ref="AL25" si="19">AK25+1</f>
        <v>39</v>
      </c>
      <c r="AM25" s="92">
        <f t="shared" ref="AM25" si="20">AL25+1</f>
        <v>40</v>
      </c>
      <c r="AN25" s="92">
        <f t="shared" ref="AN25" si="21">AM25+1</f>
        <v>41</v>
      </c>
      <c r="AO25" s="92">
        <f t="shared" ref="AO25" si="22">AN25+1</f>
        <v>42</v>
      </c>
      <c r="AP25" s="92">
        <f t="shared" ref="AP25" si="23">AO25+1</f>
        <v>43</v>
      </c>
      <c r="AQ25" s="92">
        <f t="shared" ref="AQ25" si="24">AP25+1</f>
        <v>44</v>
      </c>
      <c r="AR25" s="92">
        <f t="shared" ref="AR25" si="25">AQ25+1</f>
        <v>45</v>
      </c>
      <c r="AS25" s="92">
        <f t="shared" ref="AS25" si="26">AR25+1</f>
        <v>46</v>
      </c>
      <c r="AT25" s="92">
        <f t="shared" ref="AT25" si="27">AS25+1</f>
        <v>47</v>
      </c>
      <c r="AU25" s="92">
        <f t="shared" ref="AU25" si="28">AT25+1</f>
        <v>48</v>
      </c>
      <c r="AV25" s="92">
        <f t="shared" ref="AV25" si="29">AU25+1</f>
        <v>49</v>
      </c>
    </row>
    <row r="26" spans="1:48" s="196" customFormat="1" ht="104.25" customHeight="1" x14ac:dyDescent="0.25">
      <c r="A26" s="186">
        <v>1</v>
      </c>
      <c r="B26" s="345" t="s">
        <v>287</v>
      </c>
      <c r="C26" s="345" t="s">
        <v>454</v>
      </c>
      <c r="D26" s="345" t="s">
        <v>509</v>
      </c>
      <c r="E26" s="348"/>
      <c r="F26" s="348">
        <v>0</v>
      </c>
      <c r="G26" s="348">
        <v>12.6</v>
      </c>
      <c r="H26" s="348">
        <v>0</v>
      </c>
      <c r="I26" s="348">
        <v>0</v>
      </c>
      <c r="J26" s="348">
        <v>0</v>
      </c>
      <c r="K26" s="348">
        <v>0</v>
      </c>
      <c r="L26" s="348">
        <f>'[2]6.2. Паспорт фин осв ввод'!D59</f>
        <v>0</v>
      </c>
      <c r="M26" s="186" t="s">
        <v>470</v>
      </c>
      <c r="N26" s="187" t="s">
        <v>470</v>
      </c>
      <c r="O26" s="351" t="s">
        <v>471</v>
      </c>
      <c r="P26" s="188">
        <v>10288.518</v>
      </c>
      <c r="Q26" s="186" t="s">
        <v>453</v>
      </c>
      <c r="R26" s="188">
        <v>10288.518</v>
      </c>
      <c r="S26" s="186" t="s">
        <v>455</v>
      </c>
      <c r="T26" s="186" t="s">
        <v>455</v>
      </c>
      <c r="U26" s="186">
        <v>2</v>
      </c>
      <c r="V26" s="186">
        <v>2</v>
      </c>
      <c r="W26" s="187" t="s">
        <v>472</v>
      </c>
      <c r="X26" s="189" t="s">
        <v>473</v>
      </c>
      <c r="Y26" s="190" t="s">
        <v>290</v>
      </c>
      <c r="Z26" s="191" t="s">
        <v>474</v>
      </c>
      <c r="AA26" s="191" t="s">
        <v>474</v>
      </c>
      <c r="AB26" s="188">
        <v>10126.11</v>
      </c>
      <c r="AC26" s="187" t="s">
        <v>475</v>
      </c>
      <c r="AD26" s="192">
        <v>12151.334999999999</v>
      </c>
      <c r="AE26" s="192"/>
      <c r="AF26" s="187">
        <v>32110356559</v>
      </c>
      <c r="AG26" s="193" t="s">
        <v>476</v>
      </c>
      <c r="AH26" s="194">
        <v>44351</v>
      </c>
      <c r="AI26" s="194">
        <v>44351</v>
      </c>
      <c r="AJ26" s="194">
        <v>44363</v>
      </c>
      <c r="AK26" s="194">
        <v>44393</v>
      </c>
      <c r="AL26" s="329" t="s">
        <v>467</v>
      </c>
      <c r="AM26" s="330"/>
      <c r="AN26" s="330"/>
      <c r="AO26" s="331"/>
      <c r="AP26" s="194">
        <v>44407</v>
      </c>
      <c r="AQ26" s="194">
        <v>44407</v>
      </c>
      <c r="AR26" s="194">
        <v>44407</v>
      </c>
      <c r="AS26" s="194">
        <v>44407</v>
      </c>
      <c r="AT26" s="194">
        <v>44561</v>
      </c>
      <c r="AU26" s="186"/>
      <c r="AV26" s="195" t="s">
        <v>501</v>
      </c>
    </row>
    <row r="27" spans="1:48" s="208" customFormat="1" ht="79.5" customHeight="1" x14ac:dyDescent="0.25">
      <c r="A27" s="197">
        <v>2</v>
      </c>
      <c r="B27" s="346"/>
      <c r="C27" s="346"/>
      <c r="D27" s="346"/>
      <c r="E27" s="349"/>
      <c r="F27" s="349">
        <v>0</v>
      </c>
      <c r="G27" s="349"/>
      <c r="H27" s="349">
        <v>0</v>
      </c>
      <c r="I27" s="349">
        <v>0</v>
      </c>
      <c r="J27" s="349">
        <v>0</v>
      </c>
      <c r="K27" s="349">
        <v>0</v>
      </c>
      <c r="L27" s="349"/>
      <c r="M27" s="198" t="s">
        <v>500</v>
      </c>
      <c r="N27" s="198" t="s">
        <v>500</v>
      </c>
      <c r="O27" s="352"/>
      <c r="P27" s="199">
        <v>263501.57643399999</v>
      </c>
      <c r="Q27" s="197" t="s">
        <v>453</v>
      </c>
      <c r="R27" s="199">
        <v>263501.57643399999</v>
      </c>
      <c r="S27" s="197" t="s">
        <v>455</v>
      </c>
      <c r="T27" s="197" t="s">
        <v>455</v>
      </c>
      <c r="U27" s="197">
        <v>1</v>
      </c>
      <c r="V27" s="197">
        <v>1</v>
      </c>
      <c r="W27" s="197" t="s">
        <v>502</v>
      </c>
      <c r="X27" s="200">
        <f>R27</f>
        <v>263501.57643399999</v>
      </c>
      <c r="Y27" s="201" t="s">
        <v>290</v>
      </c>
      <c r="Z27" s="197">
        <v>1</v>
      </c>
      <c r="AA27" s="199">
        <v>263501.57643399999</v>
      </c>
      <c r="AB27" s="199">
        <v>263501.57643399999</v>
      </c>
      <c r="AC27" s="197" t="s">
        <v>502</v>
      </c>
      <c r="AD27" s="199">
        <v>316201.89172000001</v>
      </c>
      <c r="AE27" s="199">
        <v>46882.177929999998</v>
      </c>
      <c r="AF27" s="202">
        <v>32211786301</v>
      </c>
      <c r="AG27" s="203" t="s">
        <v>476</v>
      </c>
      <c r="AH27" s="204">
        <v>44858</v>
      </c>
      <c r="AI27" s="204">
        <v>44858</v>
      </c>
      <c r="AJ27" s="204">
        <v>44882</v>
      </c>
      <c r="AK27" s="204">
        <v>44890</v>
      </c>
      <c r="AL27" s="333" t="s">
        <v>467</v>
      </c>
      <c r="AM27" s="334"/>
      <c r="AN27" s="334"/>
      <c r="AO27" s="335"/>
      <c r="AP27" s="204">
        <v>44907</v>
      </c>
      <c r="AQ27" s="204">
        <v>44907</v>
      </c>
      <c r="AR27" s="205">
        <v>44946</v>
      </c>
      <c r="AS27" s="205">
        <v>44946</v>
      </c>
      <c r="AT27" s="206">
        <v>45290</v>
      </c>
      <c r="AU27" s="197"/>
      <c r="AV27" s="207" t="s">
        <v>519</v>
      </c>
    </row>
    <row r="28" spans="1:48" s="209" customFormat="1" ht="57.75" customHeight="1" x14ac:dyDescent="0.25">
      <c r="A28" s="187">
        <v>3</v>
      </c>
      <c r="B28" s="347"/>
      <c r="C28" s="347"/>
      <c r="D28" s="347"/>
      <c r="E28" s="350"/>
      <c r="F28" s="350"/>
      <c r="G28" s="350"/>
      <c r="H28" s="350"/>
      <c r="I28" s="350"/>
      <c r="J28" s="350"/>
      <c r="K28" s="350"/>
      <c r="L28" s="350"/>
      <c r="M28" s="187" t="s">
        <v>512</v>
      </c>
      <c r="N28" s="187" t="s">
        <v>512</v>
      </c>
      <c r="O28" s="187"/>
      <c r="P28" s="187">
        <v>562.63</v>
      </c>
      <c r="Q28" s="187" t="s">
        <v>513</v>
      </c>
      <c r="R28" s="187">
        <v>562.63</v>
      </c>
      <c r="S28" s="187" t="s">
        <v>301</v>
      </c>
      <c r="T28" s="187" t="s">
        <v>301</v>
      </c>
      <c r="U28" s="187" t="s">
        <v>301</v>
      </c>
      <c r="V28" s="187" t="s">
        <v>301</v>
      </c>
      <c r="W28" s="187" t="s">
        <v>514</v>
      </c>
      <c r="X28" s="187" t="s">
        <v>301</v>
      </c>
      <c r="Y28" s="187" t="s">
        <v>290</v>
      </c>
      <c r="Z28" s="187" t="s">
        <v>301</v>
      </c>
      <c r="AA28" s="187" t="s">
        <v>301</v>
      </c>
      <c r="AB28" s="187">
        <v>562.63</v>
      </c>
      <c r="AC28" s="187" t="s">
        <v>514</v>
      </c>
      <c r="AD28" s="187">
        <v>675.15</v>
      </c>
      <c r="AE28" s="187"/>
      <c r="AF28" s="311" t="s">
        <v>515</v>
      </c>
      <c r="AG28" s="312"/>
      <c r="AH28" s="312"/>
      <c r="AI28" s="312"/>
      <c r="AJ28" s="312"/>
      <c r="AK28" s="313"/>
      <c r="AL28" s="187" t="s">
        <v>301</v>
      </c>
      <c r="AM28" s="187" t="s">
        <v>301</v>
      </c>
      <c r="AN28" s="187" t="s">
        <v>301</v>
      </c>
      <c r="AO28" s="187" t="s">
        <v>301</v>
      </c>
      <c r="AP28" s="210">
        <v>45215</v>
      </c>
      <c r="AQ28" s="210">
        <v>45215</v>
      </c>
      <c r="AR28" s="210">
        <v>45215</v>
      </c>
      <c r="AS28" s="210">
        <v>45215</v>
      </c>
      <c r="AT28" s="187" t="s">
        <v>516</v>
      </c>
      <c r="AU28" s="187"/>
      <c r="AV28" s="187"/>
    </row>
  </sheetData>
  <mergeCells count="82">
    <mergeCell ref="O26:O27"/>
    <mergeCell ref="L26:L28"/>
    <mergeCell ref="G26:G28"/>
    <mergeCell ref="H26:H28"/>
    <mergeCell ref="I26:I28"/>
    <mergeCell ref="J26:J28"/>
    <mergeCell ref="K26:K28"/>
    <mergeCell ref="D26:D28"/>
    <mergeCell ref="C26:C28"/>
    <mergeCell ref="B26:B28"/>
    <mergeCell ref="E26:E28"/>
    <mergeCell ref="F26:F28"/>
    <mergeCell ref="AL27:AO27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AT22:AT24"/>
    <mergeCell ref="AC22:AC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AP23:AP24"/>
    <mergeCell ref="AP22:AQ22"/>
    <mergeCell ref="AL22:AO22"/>
    <mergeCell ref="AB22:AB24"/>
    <mergeCell ref="F23:F24"/>
    <mergeCell ref="G23:G24"/>
    <mergeCell ref="H23:H24"/>
    <mergeCell ref="K23:K24"/>
    <mergeCell ref="I23:I24"/>
    <mergeCell ref="J23:J24"/>
    <mergeCell ref="AF28:AK28"/>
    <mergeCell ref="L23:L24"/>
    <mergeCell ref="S23:S24"/>
    <mergeCell ref="AF22:AK22"/>
    <mergeCell ref="AK23:AK24"/>
    <mergeCell ref="AH23:AI23"/>
    <mergeCell ref="AJ23:AJ24"/>
    <mergeCell ref="M22:M24"/>
    <mergeCell ref="N22:N24"/>
    <mergeCell ref="O22:O24"/>
    <mergeCell ref="P22:P24"/>
    <mergeCell ref="Q22:Q24"/>
    <mergeCell ref="T23:T24"/>
    <mergeCell ref="V22:V24"/>
    <mergeCell ref="X22:X24"/>
    <mergeCell ref="W22:W24"/>
  </mergeCells>
  <phoneticPr fontId="47" type="noConversion"/>
  <hyperlinks>
    <hyperlink ref="AG26" r:id="rId1" display="www.b2b-mrsk.ru"/>
  </hyperlinks>
  <printOptions horizontalCentered="1"/>
  <pageMargins left="0.59055118110236227" right="0.59055118110236227" top="0.59055118110236227" bottom="0.59055118110236227" header="0" footer="0"/>
  <pageSetup paperSize="8" scale="31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2" zoomScale="80" zoomScaleNormal="90" zoomScaleSheetLayoutView="80" workbookViewId="0">
      <selection activeCell="H41" sqref="H41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54" t="str">
        <f>'1. паспорт местоположение'!$A$5</f>
        <v>Год раскрытия информации: 2025 год</v>
      </c>
      <c r="B5" s="354"/>
    </row>
    <row r="6" spans="1:2" ht="18.75" x14ac:dyDescent="0.3">
      <c r="A6" s="21"/>
      <c r="B6" s="21"/>
    </row>
    <row r="7" spans="1:2" x14ac:dyDescent="0.25">
      <c r="A7" s="355" t="s">
        <v>5</v>
      </c>
      <c r="B7" s="355"/>
    </row>
    <row r="8" spans="1:2" ht="18.75" x14ac:dyDescent="0.25">
      <c r="A8" s="58"/>
      <c r="B8" s="58"/>
    </row>
    <row r="9" spans="1:2" x14ac:dyDescent="0.25">
      <c r="A9" s="356" t="s">
        <v>287</v>
      </c>
      <c r="B9" s="356"/>
    </row>
    <row r="10" spans="1:2" x14ac:dyDescent="0.25">
      <c r="A10" s="233" t="s">
        <v>4</v>
      </c>
      <c r="B10" s="233"/>
    </row>
    <row r="11" spans="1:2" ht="18.75" x14ac:dyDescent="0.25">
      <c r="A11" s="58"/>
      <c r="B11" s="58"/>
    </row>
    <row r="12" spans="1:2" ht="30.75" customHeight="1" x14ac:dyDescent="0.25">
      <c r="A12" s="356" t="str">
        <f>'6.2. Паспорт фин осв ввод'!A11:K11</f>
        <v>M_Che427</v>
      </c>
      <c r="B12" s="356"/>
    </row>
    <row r="13" spans="1:2" x14ac:dyDescent="0.25">
      <c r="A13" s="233" t="s">
        <v>3</v>
      </c>
      <c r="B13" s="233"/>
    </row>
    <row r="14" spans="1:2" ht="18.75" x14ac:dyDescent="0.25">
      <c r="A14" s="1"/>
      <c r="B14" s="1"/>
    </row>
    <row r="15" spans="1:2" ht="57.75" customHeight="1" x14ac:dyDescent="0.25">
      <c r="A15" s="358" t="str">
        <f>'6.2. Паспорт фин осв ввод'!A14:K14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358"/>
    </row>
    <row r="16" spans="1:2" x14ac:dyDescent="0.25">
      <c r="A16" s="233" t="s">
        <v>2</v>
      </c>
      <c r="B16" s="233"/>
    </row>
    <row r="17" spans="1:9" x14ac:dyDescent="0.25">
      <c r="B17" s="82"/>
    </row>
    <row r="18" spans="1:9" ht="20.25" customHeight="1" x14ac:dyDescent="0.25">
      <c r="A18" s="357" t="s">
        <v>278</v>
      </c>
      <c r="B18" s="354"/>
    </row>
    <row r="19" spans="1:9" ht="10.5" customHeight="1" x14ac:dyDescent="0.25">
      <c r="B19" s="6"/>
    </row>
    <row r="20" spans="1:9" ht="10.5" customHeight="1" x14ac:dyDescent="0.25">
      <c r="B20" s="83"/>
    </row>
    <row r="21" spans="1:9" ht="57" customHeight="1" x14ac:dyDescent="0.25">
      <c r="A21" s="143" t="s">
        <v>173</v>
      </c>
      <c r="B21" s="84" t="str">
        <f>'1. паспорт местоположение'!A15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</row>
    <row r="22" spans="1:9" x14ac:dyDescent="0.25">
      <c r="A22" s="143" t="s">
        <v>174</v>
      </c>
      <c r="B22" s="84" t="str">
        <f>'1. паспорт местоположение'!C27</f>
        <v>г.Грозный</v>
      </c>
    </row>
    <row r="23" spans="1:9" ht="30" x14ac:dyDescent="0.25">
      <c r="A23" s="143" t="s">
        <v>170</v>
      </c>
      <c r="B23" s="84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3" t="s">
        <v>175</v>
      </c>
      <c r="B24" s="85" t="s">
        <v>496</v>
      </c>
    </row>
    <row r="25" spans="1:9" x14ac:dyDescent="0.25">
      <c r="A25" s="144" t="s">
        <v>176</v>
      </c>
      <c r="B25" s="185">
        <f>VLOOKUP($A$12,'[1]6.2. отчет'!$D:$OM,400,0)</f>
        <v>2024</v>
      </c>
    </row>
    <row r="26" spans="1:9" x14ac:dyDescent="0.25">
      <c r="A26" s="144" t="s">
        <v>177</v>
      </c>
      <c r="B26" s="85" t="s">
        <v>497</v>
      </c>
      <c r="I26" s="86"/>
    </row>
    <row r="27" spans="1:9" ht="15.75" customHeight="1" x14ac:dyDescent="0.25">
      <c r="A27" s="145" t="s">
        <v>451</v>
      </c>
      <c r="B27" s="87">
        <f>'6.2. Паспорт фин осв ввод'!C24</f>
        <v>238.10231199920003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87">
        <f>B30</f>
        <v>206.24945742199998</v>
      </c>
    </row>
    <row r="30" spans="1:9" ht="18.75" customHeight="1" x14ac:dyDescent="0.25">
      <c r="A30" s="145" t="s">
        <v>180</v>
      </c>
      <c r="B30" s="87">
        <f>B36+B51+B46</f>
        <v>206.24945742199998</v>
      </c>
    </row>
    <row r="31" spans="1:9" x14ac:dyDescent="0.25">
      <c r="A31" s="146" t="s">
        <v>181</v>
      </c>
      <c r="B31" s="146"/>
    </row>
    <row r="32" spans="1:9" ht="28.5" x14ac:dyDescent="0.25">
      <c r="A32" s="145" t="s">
        <v>182</v>
      </c>
      <c r="B32" s="181" t="s">
        <v>518</v>
      </c>
    </row>
    <row r="33" spans="1:2" ht="18.75" customHeight="1" x14ac:dyDescent="0.25">
      <c r="A33" s="146" t="s">
        <v>445</v>
      </c>
      <c r="B33" s="87">
        <v>316.20189171999999</v>
      </c>
    </row>
    <row r="34" spans="1:2" ht="23.25" customHeight="1" x14ac:dyDescent="0.25">
      <c r="A34" s="146" t="s">
        <v>184</v>
      </c>
      <c r="B34" s="148">
        <f>B36/B27</f>
        <v>0.83896643070257604</v>
      </c>
    </row>
    <row r="35" spans="1:2" x14ac:dyDescent="0.25">
      <c r="A35" s="146" t="s">
        <v>185</v>
      </c>
      <c r="B35" s="87">
        <v>189.33987661</v>
      </c>
    </row>
    <row r="36" spans="1:2" x14ac:dyDescent="0.25">
      <c r="A36" s="146" t="s">
        <v>186</v>
      </c>
      <c r="B36" s="87">
        <v>199.75984683999999</v>
      </c>
    </row>
    <row r="37" spans="1:2" ht="28.5" x14ac:dyDescent="0.25">
      <c r="A37" s="145" t="s">
        <v>187</v>
      </c>
      <c r="B37" s="146"/>
    </row>
    <row r="38" spans="1:2" x14ac:dyDescent="0.25">
      <c r="A38" s="146" t="s">
        <v>183</v>
      </c>
      <c r="B38" s="84"/>
    </row>
    <row r="39" spans="1:2" x14ac:dyDescent="0.25">
      <c r="A39" s="146" t="s">
        <v>184</v>
      </c>
      <c r="B39" s="84"/>
    </row>
    <row r="40" spans="1:2" x14ac:dyDescent="0.25">
      <c r="A40" s="146" t="s">
        <v>185</v>
      </c>
      <c r="B40" s="84"/>
    </row>
    <row r="41" spans="1:2" x14ac:dyDescent="0.25">
      <c r="A41" s="146" t="s">
        <v>186</v>
      </c>
      <c r="B41" s="84"/>
    </row>
    <row r="42" spans="1:2" ht="28.5" x14ac:dyDescent="0.25">
      <c r="A42" s="145" t="s">
        <v>188</v>
      </c>
      <c r="B42" s="147" t="s">
        <v>511</v>
      </c>
    </row>
    <row r="43" spans="1:2" x14ac:dyDescent="0.25">
      <c r="A43" s="146" t="s">
        <v>517</v>
      </c>
      <c r="B43" s="149">
        <f>'7. Паспорт отчет о закупке'!AD28/1000</f>
        <v>0.67515000000000003</v>
      </c>
    </row>
    <row r="44" spans="1:2" x14ac:dyDescent="0.25">
      <c r="A44" s="146" t="s">
        <v>184</v>
      </c>
      <c r="B44" s="150">
        <f>B46/B27</f>
        <v>1.679331572392894E-3</v>
      </c>
    </row>
    <row r="45" spans="1:2" x14ac:dyDescent="0.25">
      <c r="A45" s="146" t="s">
        <v>185</v>
      </c>
      <c r="B45" s="149">
        <v>0</v>
      </c>
    </row>
    <row r="46" spans="1:2" x14ac:dyDescent="0.25">
      <c r="A46" s="146" t="s">
        <v>186</v>
      </c>
      <c r="B46" s="149">
        <v>0.39985272999999999</v>
      </c>
    </row>
    <row r="47" spans="1:2" s="172" customFormat="1" ht="28.5" x14ac:dyDescent="0.25">
      <c r="A47" s="171" t="s">
        <v>188</v>
      </c>
      <c r="B47" s="171" t="s">
        <v>503</v>
      </c>
    </row>
    <row r="48" spans="1:2" s="172" customFormat="1" x14ac:dyDescent="0.25">
      <c r="A48" s="173" t="s">
        <v>477</v>
      </c>
      <c r="B48" s="174">
        <v>12.15133559</v>
      </c>
    </row>
    <row r="49" spans="1:5" s="172" customFormat="1" x14ac:dyDescent="0.25">
      <c r="A49" s="173" t="s">
        <v>184</v>
      </c>
      <c r="B49" s="175">
        <f>B51/B27</f>
        <v>2.5576223098667184E-2</v>
      </c>
    </row>
    <row r="50" spans="1:5" s="172" customFormat="1" x14ac:dyDescent="0.25">
      <c r="A50" s="173" t="s">
        <v>185</v>
      </c>
      <c r="B50" s="176">
        <v>6.0897578511999981</v>
      </c>
    </row>
    <row r="51" spans="1:5" s="172" customFormat="1" x14ac:dyDescent="0.25">
      <c r="A51" s="173" t="s">
        <v>186</v>
      </c>
      <c r="B51" s="176">
        <v>6.089757852</v>
      </c>
    </row>
    <row r="52" spans="1:5" ht="28.5" x14ac:dyDescent="0.25">
      <c r="A52" s="144" t="s">
        <v>189</v>
      </c>
      <c r="B52" s="151">
        <f>B54+B55+B56</f>
        <v>0.86622198537363615</v>
      </c>
    </row>
    <row r="53" spans="1:5" x14ac:dyDescent="0.25">
      <c r="A53" s="88" t="s">
        <v>181</v>
      </c>
      <c r="B53" s="152"/>
    </row>
    <row r="54" spans="1:5" x14ac:dyDescent="0.25">
      <c r="A54" s="88" t="s">
        <v>190</v>
      </c>
      <c r="B54" s="148">
        <f>B34</f>
        <v>0.83896643070257604</v>
      </c>
    </row>
    <row r="55" spans="1:5" x14ac:dyDescent="0.25">
      <c r="A55" s="88" t="s">
        <v>191</v>
      </c>
      <c r="B55" s="148">
        <v>0</v>
      </c>
    </row>
    <row r="56" spans="1:5" x14ac:dyDescent="0.25">
      <c r="A56" s="88" t="s">
        <v>192</v>
      </c>
      <c r="B56" s="148">
        <f>B49+B44</f>
        <v>2.7255554671060077E-2</v>
      </c>
    </row>
    <row r="57" spans="1:5" x14ac:dyDescent="0.25">
      <c r="A57" s="144" t="s">
        <v>456</v>
      </c>
      <c r="B57" s="182">
        <f>B58+B59</f>
        <v>1.6018451800000002</v>
      </c>
    </row>
    <row r="58" spans="1:5" x14ac:dyDescent="0.25">
      <c r="A58" s="144" t="s">
        <v>457</v>
      </c>
      <c r="B58" s="153">
        <v>1.6018451800000002</v>
      </c>
    </row>
    <row r="59" spans="1:5" x14ac:dyDescent="0.25">
      <c r="A59" s="144" t="s">
        <v>458</v>
      </c>
      <c r="B59" s="154">
        <v>0</v>
      </c>
    </row>
    <row r="60" spans="1:5" x14ac:dyDescent="0.25">
      <c r="A60" s="144" t="s">
        <v>193</v>
      </c>
      <c r="B60" s="155">
        <f>B61/$B$27</f>
        <v>0.82750762892156193</v>
      </c>
    </row>
    <row r="61" spans="1:5" x14ac:dyDescent="0.25">
      <c r="A61" s="144" t="s">
        <v>194</v>
      </c>
      <c r="B61" s="87">
        <f>'6.2. Паспорт фин осв ввод'!D24</f>
        <v>197.03147964319999</v>
      </c>
      <c r="C61" s="139">
        <f>B50+B35+B57</f>
        <v>197.03147964120001</v>
      </c>
      <c r="D61" s="142">
        <f>B61-C61</f>
        <v>1.9999788491986692E-9</v>
      </c>
      <c r="E61" s="141"/>
    </row>
    <row r="62" spans="1:5" x14ac:dyDescent="0.25">
      <c r="A62" s="144" t="s">
        <v>195</v>
      </c>
      <c r="B62" s="155">
        <f>$B63/'6.2. Паспорт фин осв ввод'!$C$30</f>
        <v>0.87429504506449307</v>
      </c>
      <c r="D62" s="142"/>
    </row>
    <row r="63" spans="1:5" x14ac:dyDescent="0.25">
      <c r="A63" s="144" t="s">
        <v>196</v>
      </c>
      <c r="B63" s="87">
        <f>'6.2. Паспорт фин осв ввод'!D30</f>
        <v>173.47639299999997</v>
      </c>
      <c r="C63" s="140">
        <f>(B36+B51+B46)/1.2+B57</f>
        <v>173.47639303166665</v>
      </c>
      <c r="D63" s="142">
        <f>B63-C63</f>
        <v>-3.1666672839492094E-8</v>
      </c>
      <c r="E63" s="141"/>
    </row>
    <row r="64" spans="1:5" x14ac:dyDescent="0.25">
      <c r="A64" s="156" t="s">
        <v>197</v>
      </c>
      <c r="B64" s="88"/>
    </row>
    <row r="65" spans="1:2" x14ac:dyDescent="0.25">
      <c r="A65" s="157" t="s">
        <v>198</v>
      </c>
      <c r="B65" s="88" t="s">
        <v>287</v>
      </c>
    </row>
    <row r="66" spans="1:2" x14ac:dyDescent="0.25">
      <c r="A66" s="157" t="s">
        <v>199</v>
      </c>
      <c r="B66" s="88" t="s">
        <v>510</v>
      </c>
    </row>
    <row r="67" spans="1:2" x14ac:dyDescent="0.25">
      <c r="A67" s="157" t="s">
        <v>200</v>
      </c>
      <c r="B67" s="88" t="s">
        <v>301</v>
      </c>
    </row>
    <row r="68" spans="1:2" x14ac:dyDescent="0.25">
      <c r="A68" s="157" t="s">
        <v>201</v>
      </c>
      <c r="B68" s="88" t="s">
        <v>504</v>
      </c>
    </row>
    <row r="69" spans="1:2" x14ac:dyDescent="0.25">
      <c r="A69" s="157" t="s">
        <v>202</v>
      </c>
      <c r="B69" s="88" t="s">
        <v>301</v>
      </c>
    </row>
    <row r="70" spans="1:2" ht="14.25" customHeight="1" x14ac:dyDescent="0.25">
      <c r="A70" s="88" t="s">
        <v>203</v>
      </c>
      <c r="B70" s="84" t="s">
        <v>290</v>
      </c>
    </row>
    <row r="71" spans="1:2" ht="28.5" x14ac:dyDescent="0.25">
      <c r="A71" s="144" t="s">
        <v>204</v>
      </c>
      <c r="B71" s="158">
        <f>B73+B74</f>
        <v>30</v>
      </c>
    </row>
    <row r="72" spans="1:2" x14ac:dyDescent="0.25">
      <c r="A72" s="88" t="s">
        <v>181</v>
      </c>
      <c r="B72" s="159"/>
    </row>
    <row r="73" spans="1:2" x14ac:dyDescent="0.25">
      <c r="A73" s="88" t="s">
        <v>205</v>
      </c>
      <c r="B73" s="159">
        <v>20</v>
      </c>
    </row>
    <row r="74" spans="1:2" x14ac:dyDescent="0.25">
      <c r="A74" s="88" t="s">
        <v>206</v>
      </c>
      <c r="B74" s="159">
        <v>10</v>
      </c>
    </row>
    <row r="75" spans="1:2" x14ac:dyDescent="0.25">
      <c r="A75" s="160" t="s">
        <v>207</v>
      </c>
      <c r="B75" s="84"/>
    </row>
    <row r="76" spans="1:2" x14ac:dyDescent="0.25">
      <c r="A76" s="144" t="s">
        <v>208</v>
      </c>
      <c r="B76" s="146"/>
    </row>
    <row r="77" spans="1:2" x14ac:dyDescent="0.25">
      <c r="A77" s="88" t="s">
        <v>209</v>
      </c>
      <c r="B77" s="84"/>
    </row>
    <row r="78" spans="1:2" x14ac:dyDescent="0.25">
      <c r="A78" s="88" t="s">
        <v>210</v>
      </c>
      <c r="B78" s="84"/>
    </row>
    <row r="79" spans="1:2" x14ac:dyDescent="0.25">
      <c r="A79" s="88" t="s">
        <v>211</v>
      </c>
      <c r="B79" s="84"/>
    </row>
    <row r="80" spans="1:2" ht="28.5" x14ac:dyDescent="0.25">
      <c r="A80" s="161" t="s">
        <v>212</v>
      </c>
      <c r="B80" s="88" t="str">
        <f>$B$26</f>
        <v>Строительство</v>
      </c>
    </row>
    <row r="81" spans="1:2" ht="28.5" x14ac:dyDescent="0.25">
      <c r="A81" s="144" t="s">
        <v>213</v>
      </c>
      <c r="B81" s="353"/>
    </row>
    <row r="82" spans="1:2" x14ac:dyDescent="0.25">
      <c r="A82" s="88" t="s">
        <v>214</v>
      </c>
      <c r="B82" s="353"/>
    </row>
    <row r="83" spans="1:2" x14ac:dyDescent="0.25">
      <c r="A83" s="88" t="s">
        <v>215</v>
      </c>
      <c r="B83" s="353"/>
    </row>
    <row r="84" spans="1:2" x14ac:dyDescent="0.25">
      <c r="A84" s="88" t="s">
        <v>216</v>
      </c>
      <c r="B84" s="353"/>
    </row>
    <row r="85" spans="1:2" x14ac:dyDescent="0.25">
      <c r="A85" s="88" t="s">
        <v>217</v>
      </c>
      <c r="B85" s="353"/>
    </row>
    <row r="86" spans="1:2" x14ac:dyDescent="0.25">
      <c r="A86" s="162" t="s">
        <v>218</v>
      </c>
      <c r="B86" s="353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22" sqref="A22:XFD22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27" t="str">
        <f>'1. паспорт местоположение'!$A$5</f>
        <v>Год раскрытия информации: 2025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1:24" s="2" customFormat="1" ht="15.75" x14ac:dyDescent="0.2">
      <c r="A5" s="28"/>
    </row>
    <row r="6" spans="1:24" s="2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</row>
    <row r="7" spans="1:24" s="2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</row>
    <row r="8" spans="1:24" s="2" customFormat="1" ht="18.75" customHeight="1" x14ac:dyDescent="0.2">
      <c r="A8" s="232" t="s">
        <v>309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</row>
    <row r="9" spans="1:24" s="2" customFormat="1" ht="18.75" customHeight="1" x14ac:dyDescent="0.2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</row>
    <row r="10" spans="1:24" s="2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</row>
    <row r="11" spans="1:24" s="2" customFormat="1" ht="18.75" customHeight="1" x14ac:dyDescent="0.2">
      <c r="A11" s="232" t="s">
        <v>469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</row>
    <row r="12" spans="1:24" s="2" customFormat="1" ht="18.75" customHeight="1" x14ac:dyDescent="0.2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</row>
    <row r="13" spans="1:24" s="39" customFormat="1" ht="15.75" customHeight="1" x14ac:dyDescent="0.2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</row>
    <row r="14" spans="1:24" s="40" customFormat="1" ht="15.75" x14ac:dyDescent="0.2">
      <c r="A14" s="232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</row>
    <row r="15" spans="1:24" s="40" customFormat="1" ht="15" customHeight="1" x14ac:dyDescent="0.2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</row>
    <row r="16" spans="1:24" s="40" customFormat="1" ht="15" customHeight="1" x14ac:dyDescent="0.2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64"/>
      <c r="U16" s="64"/>
      <c r="V16" s="64"/>
      <c r="W16" s="64"/>
      <c r="X16" s="64"/>
    </row>
    <row r="17" spans="1:27" s="40" customFormat="1" ht="45.75" customHeight="1" x14ac:dyDescent="0.2">
      <c r="A17" s="241" t="s">
        <v>459</v>
      </c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64"/>
      <c r="U18" s="64"/>
      <c r="V18" s="64"/>
      <c r="W18" s="64"/>
      <c r="X18" s="64"/>
    </row>
    <row r="19" spans="1:27" s="40" customFormat="1" ht="54" customHeight="1" x14ac:dyDescent="0.2">
      <c r="A19" s="236" t="s">
        <v>1</v>
      </c>
      <c r="B19" s="236" t="s">
        <v>310</v>
      </c>
      <c r="C19" s="238" t="s">
        <v>311</v>
      </c>
      <c r="D19" s="236" t="s">
        <v>312</v>
      </c>
      <c r="E19" s="236" t="s">
        <v>313</v>
      </c>
      <c r="F19" s="236" t="s">
        <v>314</v>
      </c>
      <c r="G19" s="236" t="s">
        <v>315</v>
      </c>
      <c r="H19" s="236" t="s">
        <v>316</v>
      </c>
      <c r="I19" s="236" t="s">
        <v>317</v>
      </c>
      <c r="J19" s="236" t="s">
        <v>318</v>
      </c>
      <c r="K19" s="236" t="s">
        <v>319</v>
      </c>
      <c r="L19" s="236" t="s">
        <v>320</v>
      </c>
      <c r="M19" s="236" t="s">
        <v>321</v>
      </c>
      <c r="N19" s="236" t="s">
        <v>322</v>
      </c>
      <c r="O19" s="236" t="s">
        <v>323</v>
      </c>
      <c r="P19" s="236" t="s">
        <v>324</v>
      </c>
      <c r="Q19" s="236" t="s">
        <v>325</v>
      </c>
      <c r="R19" s="236"/>
      <c r="S19" s="240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36"/>
      <c r="B20" s="236"/>
      <c r="C20" s="239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102" t="s">
        <v>327</v>
      </c>
      <c r="R20" s="41" t="s">
        <v>328</v>
      </c>
      <c r="S20" s="240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490</v>
      </c>
      <c r="C22" s="128" t="s">
        <v>449</v>
      </c>
      <c r="D22" s="128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301</v>
      </c>
      <c r="F22" s="128" t="s">
        <v>491</v>
      </c>
      <c r="G22" s="128" t="s">
        <v>301</v>
      </c>
      <c r="H22" s="128">
        <v>5.6999999999999993</v>
      </c>
      <c r="I22" s="129">
        <v>0</v>
      </c>
      <c r="J22" s="128">
        <v>5.6999999999999993</v>
      </c>
      <c r="K22" s="63" t="s">
        <v>301</v>
      </c>
      <c r="L22" s="63" t="s">
        <v>301</v>
      </c>
      <c r="M22" s="128">
        <v>6.3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448</v>
      </c>
      <c r="C24" s="128"/>
      <c r="D24" s="128"/>
      <c r="E24" s="134" t="s">
        <v>449</v>
      </c>
      <c r="F24" s="134" t="s">
        <v>449</v>
      </c>
      <c r="G24" s="134" t="s">
        <v>449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3" zoomScale="85" zoomScaleNormal="60" zoomScaleSheetLayoutView="85" workbookViewId="0">
      <selection activeCell="G21" sqref="G21:H22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27" t="str">
        <f>'1. паспорт местоположение'!$A$5</f>
        <v>Год раскрытия информации: 2025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2" customFormat="1" x14ac:dyDescent="0.2">
      <c r="A7" s="28"/>
    </row>
    <row r="8" spans="1:20" s="2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2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2" customFormat="1" ht="18.75" customHeight="1" x14ac:dyDescent="0.2">
      <c r="A10" s="232" t="s">
        <v>309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2" customFormat="1" ht="18.75" customHeight="1" x14ac:dyDescent="0.2">
      <c r="A11" s="233" t="s">
        <v>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</row>
    <row r="12" spans="1:20" s="2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2" customFormat="1" ht="18.75" customHeight="1" x14ac:dyDescent="0.2">
      <c r="A13" s="232" t="s">
        <v>469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2" customFormat="1" ht="18.75" customHeight="1" x14ac:dyDescent="0.2">
      <c r="A14" s="233" t="s">
        <v>3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</row>
    <row r="15" spans="1:20" s="39" customFormat="1" ht="15.75" customHeight="1" x14ac:dyDescent="0.2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</row>
    <row r="16" spans="1:20" s="40" customFormat="1" ht="52.5" customHeight="1" x14ac:dyDescent="0.2">
      <c r="A16" s="234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</row>
    <row r="17" spans="1:113" s="40" customFormat="1" ht="15" customHeight="1" x14ac:dyDescent="0.2">
      <c r="A17" s="233" t="s">
        <v>2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</row>
    <row r="18" spans="1:113" s="40" customFormat="1" ht="15" customHeight="1" x14ac:dyDescent="0.2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</row>
    <row r="19" spans="1:113" s="40" customFormat="1" ht="15" customHeight="1" x14ac:dyDescent="0.2">
      <c r="A19" s="250" t="s">
        <v>329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</row>
    <row r="20" spans="1:113" s="42" customFormat="1" ht="21" customHeigh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</row>
    <row r="21" spans="1:113" ht="46.5" customHeight="1" x14ac:dyDescent="0.25">
      <c r="A21" s="247" t="s">
        <v>1</v>
      </c>
      <c r="B21" s="252" t="s">
        <v>330</v>
      </c>
      <c r="C21" s="253"/>
      <c r="D21" s="256" t="s">
        <v>331</v>
      </c>
      <c r="E21" s="252" t="s">
        <v>332</v>
      </c>
      <c r="F21" s="253"/>
      <c r="G21" s="252" t="s">
        <v>333</v>
      </c>
      <c r="H21" s="253"/>
      <c r="I21" s="252" t="s">
        <v>334</v>
      </c>
      <c r="J21" s="253"/>
      <c r="K21" s="256" t="s">
        <v>335</v>
      </c>
      <c r="L21" s="252" t="s">
        <v>336</v>
      </c>
      <c r="M21" s="253"/>
      <c r="N21" s="252" t="s">
        <v>358</v>
      </c>
      <c r="O21" s="253"/>
      <c r="P21" s="256" t="s">
        <v>337</v>
      </c>
      <c r="Q21" s="243" t="s">
        <v>338</v>
      </c>
      <c r="R21" s="244"/>
      <c r="S21" s="243" t="s">
        <v>339</v>
      </c>
      <c r="T21" s="245"/>
    </row>
    <row r="22" spans="1:113" ht="204.75" customHeight="1" x14ac:dyDescent="0.25">
      <c r="A22" s="248"/>
      <c r="B22" s="254"/>
      <c r="C22" s="255"/>
      <c r="D22" s="258"/>
      <c r="E22" s="254"/>
      <c r="F22" s="255"/>
      <c r="G22" s="254"/>
      <c r="H22" s="255"/>
      <c r="I22" s="254"/>
      <c r="J22" s="255"/>
      <c r="K22" s="257"/>
      <c r="L22" s="254"/>
      <c r="M22" s="255"/>
      <c r="N22" s="254"/>
      <c r="O22" s="255"/>
      <c r="P22" s="257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49"/>
      <c r="B23" s="44" t="s">
        <v>344</v>
      </c>
      <c r="C23" s="44" t="s">
        <v>345</v>
      </c>
      <c r="D23" s="257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51" t="s">
        <v>347</v>
      </c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C23" sqref="C2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27" t="str">
        <f>'1. паспорт местоположение'!$A$5</f>
        <v>Год раскрытия информации: 2025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</row>
    <row r="6" spans="1:27" s="2" customFormat="1" x14ac:dyDescent="0.2">
      <c r="A6" s="28"/>
    </row>
    <row r="7" spans="1:27" s="2" customFormat="1" ht="18.75" x14ac:dyDescent="0.2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</row>
    <row r="8" spans="1:27" s="2" customFormat="1" ht="18.75" x14ac:dyDescent="0.2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7" s="2" customFormat="1" ht="18.75" customHeight="1" x14ac:dyDescent="0.2">
      <c r="A9" s="232" t="s">
        <v>309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</row>
    <row r="10" spans="1:27" s="2" customFormat="1" ht="18.75" customHeight="1" x14ac:dyDescent="0.2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</row>
    <row r="11" spans="1:27" s="2" customFormat="1" ht="18.75" x14ac:dyDescent="0.2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27" s="2" customFormat="1" ht="18.75" customHeight="1" x14ac:dyDescent="0.2">
      <c r="A12" s="232" t="s">
        <v>469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</row>
    <row r="13" spans="1:27" s="2" customFormat="1" ht="18.75" customHeight="1" x14ac:dyDescent="0.2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</row>
    <row r="14" spans="1:27" s="39" customFormat="1" ht="15.75" customHeight="1" x14ac:dyDescent="0.2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</row>
    <row r="15" spans="1:27" s="40" customFormat="1" x14ac:dyDescent="0.2">
      <c r="A15" s="234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</row>
    <row r="16" spans="1:27" s="40" customFormat="1" ht="15" customHeight="1" x14ac:dyDescent="0.2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</row>
    <row r="19" spans="1:27" ht="25.5" customHeight="1" x14ac:dyDescent="0.25">
      <c r="A19" s="250" t="s">
        <v>359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</row>
    <row r="20" spans="1:27" s="42" customFormat="1" ht="21" customHeight="1" x14ac:dyDescent="0.25"/>
    <row r="21" spans="1:27" ht="15.75" customHeight="1" x14ac:dyDescent="0.25">
      <c r="A21" s="256" t="s">
        <v>1</v>
      </c>
      <c r="B21" s="252" t="s">
        <v>360</v>
      </c>
      <c r="C21" s="253"/>
      <c r="D21" s="252" t="s">
        <v>361</v>
      </c>
      <c r="E21" s="253"/>
      <c r="F21" s="243" t="s">
        <v>319</v>
      </c>
      <c r="G21" s="245"/>
      <c r="H21" s="245"/>
      <c r="I21" s="244"/>
      <c r="J21" s="256" t="s">
        <v>362</v>
      </c>
      <c r="K21" s="252" t="s">
        <v>363</v>
      </c>
      <c r="L21" s="253"/>
      <c r="M21" s="252" t="s">
        <v>364</v>
      </c>
      <c r="N21" s="253"/>
      <c r="O21" s="252" t="s">
        <v>365</v>
      </c>
      <c r="P21" s="253"/>
      <c r="Q21" s="252" t="s">
        <v>366</v>
      </c>
      <c r="R21" s="253"/>
      <c r="S21" s="256" t="s">
        <v>367</v>
      </c>
      <c r="T21" s="256" t="s">
        <v>368</v>
      </c>
      <c r="U21" s="256" t="s">
        <v>369</v>
      </c>
      <c r="V21" s="252" t="s">
        <v>370</v>
      </c>
      <c r="W21" s="253"/>
      <c r="X21" s="243" t="s">
        <v>338</v>
      </c>
      <c r="Y21" s="245"/>
      <c r="Z21" s="243" t="s">
        <v>339</v>
      </c>
      <c r="AA21" s="245"/>
    </row>
    <row r="22" spans="1:27" ht="216" customHeight="1" x14ac:dyDescent="0.25">
      <c r="A22" s="258"/>
      <c r="B22" s="254"/>
      <c r="C22" s="255"/>
      <c r="D22" s="254"/>
      <c r="E22" s="255"/>
      <c r="F22" s="243" t="s">
        <v>371</v>
      </c>
      <c r="G22" s="244"/>
      <c r="H22" s="243" t="s">
        <v>372</v>
      </c>
      <c r="I22" s="244"/>
      <c r="J22" s="257"/>
      <c r="K22" s="254"/>
      <c r="L22" s="255"/>
      <c r="M22" s="254"/>
      <c r="N22" s="255"/>
      <c r="O22" s="254"/>
      <c r="P22" s="255"/>
      <c r="Q22" s="254"/>
      <c r="R22" s="255"/>
      <c r="S22" s="257"/>
      <c r="T22" s="257"/>
      <c r="U22" s="257"/>
      <c r="V22" s="254"/>
      <c r="W22" s="255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57"/>
      <c r="B23" s="67" t="s">
        <v>344</v>
      </c>
      <c r="C23" s="164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C25" sqref="C25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27" t="str">
        <f>'1. паспорт местоположение'!A5:C5</f>
        <v>Год раскрытия информации: 2025 год</v>
      </c>
      <c r="B5" s="227"/>
      <c r="C5" s="227"/>
    </row>
    <row r="6" spans="1:3" s="2" customFormat="1" ht="7.5" customHeight="1" x14ac:dyDescent="0.2">
      <c r="A6" s="28"/>
    </row>
    <row r="7" spans="1:3" s="2" customFormat="1" ht="18.75" x14ac:dyDescent="0.2">
      <c r="A7" s="231" t="s">
        <v>5</v>
      </c>
      <c r="B7" s="231"/>
      <c r="C7" s="231"/>
    </row>
    <row r="8" spans="1:3" s="2" customFormat="1" ht="9.75" customHeight="1" x14ac:dyDescent="0.2">
      <c r="A8" s="231"/>
      <c r="B8" s="231"/>
      <c r="C8" s="231"/>
    </row>
    <row r="9" spans="1:3" s="2" customFormat="1" ht="15.75" x14ac:dyDescent="0.2">
      <c r="A9" s="232" t="str">
        <f>'1. паспорт местоположение'!A9:C9</f>
        <v>АО "Чеченэнерго"</v>
      </c>
      <c r="B9" s="232"/>
      <c r="C9" s="232"/>
    </row>
    <row r="10" spans="1:3" s="2" customFormat="1" ht="15.75" x14ac:dyDescent="0.2">
      <c r="A10" s="233" t="s">
        <v>4</v>
      </c>
      <c r="B10" s="233"/>
      <c r="C10" s="233"/>
    </row>
    <row r="11" spans="1:3" s="2" customFormat="1" ht="10.5" customHeight="1" x14ac:dyDescent="0.2">
      <c r="A11" s="260"/>
      <c r="B11" s="260"/>
      <c r="C11" s="260"/>
    </row>
    <row r="12" spans="1:3" s="2" customFormat="1" ht="15.75" x14ac:dyDescent="0.2">
      <c r="A12" s="232" t="str">
        <f>'1. паспорт местоположение'!A12:C12</f>
        <v>M_Che427</v>
      </c>
      <c r="B12" s="232"/>
      <c r="C12" s="232"/>
    </row>
    <row r="13" spans="1:3" s="2" customFormat="1" ht="15.75" x14ac:dyDescent="0.2">
      <c r="A13" s="233" t="s">
        <v>3</v>
      </c>
      <c r="B13" s="233"/>
      <c r="C13" s="233"/>
    </row>
    <row r="14" spans="1:3" s="39" customFormat="1" ht="15.75" customHeight="1" x14ac:dyDescent="0.2">
      <c r="A14" s="242"/>
      <c r="B14" s="242"/>
      <c r="C14" s="242"/>
    </row>
    <row r="15" spans="1:3" s="40" customFormat="1" ht="44.25" customHeight="1" x14ac:dyDescent="0.2">
      <c r="A15" s="234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4"/>
      <c r="C15" s="234"/>
    </row>
    <row r="16" spans="1:3" s="40" customFormat="1" ht="15" customHeight="1" x14ac:dyDescent="0.2">
      <c r="A16" s="233" t="s">
        <v>2</v>
      </c>
      <c r="B16" s="233"/>
      <c r="C16" s="233"/>
    </row>
    <row r="17" spans="1:3" s="40" customFormat="1" ht="9" customHeight="1" x14ac:dyDescent="0.2">
      <c r="A17" s="235"/>
      <c r="B17" s="235"/>
      <c r="C17" s="235"/>
    </row>
    <row r="18" spans="1:3" s="40" customFormat="1" ht="27.75" customHeight="1" x14ac:dyDescent="0.2">
      <c r="A18" s="259" t="s">
        <v>271</v>
      </c>
      <c r="B18" s="259"/>
      <c r="C18" s="259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15" t="s">
        <v>49</v>
      </c>
      <c r="C23" s="4" t="s">
        <v>493</v>
      </c>
    </row>
    <row r="24" spans="1:3" ht="31.5" x14ac:dyDescent="0.25">
      <c r="A24" s="3" t="s">
        <v>51</v>
      </c>
      <c r="B24" s="115" t="s">
        <v>281</v>
      </c>
      <c r="C24" s="114" t="s">
        <v>478</v>
      </c>
    </row>
    <row r="25" spans="1:3" ht="38.25" customHeight="1" x14ac:dyDescent="0.25">
      <c r="A25" s="3" t="s">
        <v>50</v>
      </c>
      <c r="B25" s="115" t="s">
        <v>282</v>
      </c>
      <c r="C25" s="4" t="s">
        <v>494</v>
      </c>
    </row>
    <row r="26" spans="1:3" ht="33" customHeight="1" x14ac:dyDescent="0.25">
      <c r="A26" s="3" t="s">
        <v>48</v>
      </c>
      <c r="B26" s="115" t="s">
        <v>166</v>
      </c>
      <c r="C26" s="114" t="s">
        <v>452</v>
      </c>
    </row>
    <row r="27" spans="1:3" ht="15.75" x14ac:dyDescent="0.25">
      <c r="A27" s="3" t="s">
        <v>47</v>
      </c>
      <c r="B27" s="115" t="s">
        <v>276</v>
      </c>
      <c r="C27" s="114" t="s">
        <v>479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495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23" sqref="A23:L23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27" t="str">
        <f>'1. паспорт местоположение'!$A$5</f>
        <v>Год раскрытия информации: 2025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8" s="2" customFormat="1" ht="15.75" x14ac:dyDescent="0.2">
      <c r="A5" s="28"/>
    </row>
    <row r="6" spans="1:28" s="2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8" s="2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8" s="2" customFormat="1" ht="18.75" customHeight="1" x14ac:dyDescent="0.2">
      <c r="A8" s="232" t="s">
        <v>309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8" s="2" customFormat="1" ht="18.75" customHeight="1" x14ac:dyDescent="0.2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</row>
    <row r="10" spans="1:28" s="2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8" s="2" customFormat="1" ht="18.75" customHeight="1" x14ac:dyDescent="0.2">
      <c r="A11" s="232" t="s">
        <v>469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</row>
    <row r="12" spans="1:28" s="2" customFormat="1" ht="18.75" customHeight="1" x14ac:dyDescent="0.2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</row>
    <row r="13" spans="1:28" s="39" customFormat="1" ht="15.75" customHeight="1" x14ac:dyDescent="0.2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</row>
    <row r="14" spans="1:28" s="40" customFormat="1" ht="37.5" customHeight="1" x14ac:dyDescent="0.2">
      <c r="A14" s="234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8" s="40" customFormat="1" ht="15" customHeight="1" x14ac:dyDescent="0.2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</row>
    <row r="16" spans="1:28" x14ac:dyDescent="0.25">
      <c r="A16" s="261"/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48"/>
      <c r="AB16" s="48"/>
    </row>
    <row r="17" spans="1:28" x14ac:dyDescent="0.2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48"/>
      <c r="AB17" s="48"/>
    </row>
    <row r="18" spans="1:28" x14ac:dyDescent="0.2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48"/>
      <c r="AB18" s="48"/>
    </row>
    <row r="19" spans="1:2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48"/>
      <c r="AB19" s="48"/>
    </row>
    <row r="20" spans="1:28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48"/>
      <c r="AB20" s="48"/>
    </row>
    <row r="21" spans="1:28" x14ac:dyDescent="0.25">
      <c r="A21" s="261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48"/>
      <c r="AB21" s="48"/>
    </row>
    <row r="22" spans="1:28" x14ac:dyDescent="0.25">
      <c r="A22" s="266" t="s">
        <v>373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50"/>
      <c r="AB22" s="50"/>
    </row>
    <row r="23" spans="1:28" ht="32.25" customHeight="1" x14ac:dyDescent="0.25">
      <c r="A23" s="262" t="s">
        <v>374</v>
      </c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4"/>
      <c r="M23" s="265" t="s">
        <v>375</v>
      </c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C23" sqref="C23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27" t="str">
        <f>'1. паспорт местоположение'!$A$5</f>
        <v>Год раскрытия информации: 2025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2" customFormat="1" ht="15.75" x14ac:dyDescent="0.2">
      <c r="A7" s="28"/>
    </row>
    <row r="8" spans="1:20" s="2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2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2" customFormat="1" ht="18.75" customHeight="1" x14ac:dyDescent="0.2">
      <c r="A10" s="232" t="s">
        <v>309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2" customFormat="1" ht="18.75" customHeight="1" x14ac:dyDescent="0.2">
      <c r="A11" s="233" t="s">
        <v>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</row>
    <row r="12" spans="1:20" s="2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2" customFormat="1" ht="18.75" customHeight="1" x14ac:dyDescent="0.2">
      <c r="A13" s="232" t="s">
        <v>469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2" customFormat="1" ht="18.75" customHeight="1" x14ac:dyDescent="0.2">
      <c r="A14" s="233" t="s">
        <v>3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</row>
    <row r="15" spans="1:20" s="39" customFormat="1" ht="15.75" customHeight="1" x14ac:dyDescent="0.2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</row>
    <row r="16" spans="1:20" s="40" customFormat="1" ht="15.75" x14ac:dyDescent="0.2">
      <c r="A16" s="232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</row>
    <row r="17" spans="1:20" s="40" customFormat="1" ht="15" customHeight="1" x14ac:dyDescent="0.2">
      <c r="A17" s="233" t="s">
        <v>2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</row>
    <row r="18" spans="1:20" ht="96" customHeight="1" x14ac:dyDescent="0.25">
      <c r="A18" s="267" t="s">
        <v>427</v>
      </c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</row>
    <row r="19" spans="1:20" ht="15.75" customHeight="1" x14ac:dyDescent="0.25">
      <c r="A19" s="236" t="s">
        <v>1</v>
      </c>
      <c r="B19" s="236" t="s">
        <v>428</v>
      </c>
      <c r="C19" s="236" t="s">
        <v>429</v>
      </c>
      <c r="D19" s="236" t="s">
        <v>430</v>
      </c>
      <c r="E19" s="268" t="s">
        <v>431</v>
      </c>
      <c r="F19" s="269"/>
      <c r="G19" s="269"/>
      <c r="H19" s="269"/>
      <c r="I19" s="270"/>
      <c r="J19" s="268" t="s">
        <v>432</v>
      </c>
      <c r="K19" s="269"/>
      <c r="L19" s="269"/>
      <c r="M19" s="269"/>
      <c r="N19" s="269"/>
      <c r="O19" s="270"/>
    </row>
    <row r="20" spans="1:20" ht="123" customHeight="1" x14ac:dyDescent="0.25">
      <c r="A20" s="236"/>
      <c r="B20" s="236"/>
      <c r="C20" s="236"/>
      <c r="D20" s="236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3" sqref="C2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27" t="str">
        <f>'1. паспорт местоположение'!$A$5</f>
        <v>Год раскрытия информации: 2025 год</v>
      </c>
      <c r="B5" s="227"/>
      <c r="C5" s="227"/>
      <c r="D5" s="227"/>
      <c r="E5" s="227"/>
      <c r="F5" s="227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31" t="s">
        <v>5</v>
      </c>
      <c r="B7" s="231"/>
      <c r="C7" s="231"/>
      <c r="D7" s="231"/>
      <c r="E7" s="231"/>
      <c r="F7" s="231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32" t="s">
        <v>287</v>
      </c>
      <c r="B9" s="232"/>
      <c r="C9" s="232"/>
      <c r="D9" s="232"/>
      <c r="E9" s="232"/>
      <c r="F9" s="232"/>
    </row>
    <row r="10" spans="1:6" ht="15.75" x14ac:dyDescent="0.25">
      <c r="A10" s="233" t="s">
        <v>4</v>
      </c>
      <c r="B10" s="233"/>
      <c r="C10" s="233"/>
      <c r="D10" s="233"/>
      <c r="E10" s="233"/>
      <c r="F10" s="233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32" t="s">
        <v>469</v>
      </c>
      <c r="B12" s="232"/>
      <c r="C12" s="232"/>
      <c r="D12" s="232"/>
      <c r="E12" s="232"/>
      <c r="F12" s="232"/>
    </row>
    <row r="13" spans="1:6" ht="15.75" x14ac:dyDescent="0.25">
      <c r="A13" s="233" t="s">
        <v>3</v>
      </c>
      <c r="B13" s="233"/>
      <c r="C13" s="233"/>
      <c r="D13" s="233"/>
      <c r="E13" s="233"/>
      <c r="F13" s="233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34" t="str">
        <f>'1. паспорт местоположение'!A15:C15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4"/>
      <c r="C15" s="234"/>
      <c r="D15" s="234"/>
      <c r="E15" s="234"/>
      <c r="F15" s="234"/>
    </row>
    <row r="16" spans="1:6" ht="15.75" x14ac:dyDescent="0.25">
      <c r="A16" s="233" t="s">
        <v>2</v>
      </c>
      <c r="B16" s="233"/>
      <c r="C16" s="233"/>
      <c r="D16" s="233"/>
      <c r="E16" s="233"/>
      <c r="F16" s="233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50" t="s">
        <v>291</v>
      </c>
      <c r="B18" s="250"/>
      <c r="C18" s="250"/>
      <c r="D18" s="250"/>
      <c r="E18" s="250"/>
      <c r="F18" s="250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74" t="s">
        <v>292</v>
      </c>
      <c r="C21" s="275"/>
      <c r="D21" s="275"/>
      <c r="E21" s="276"/>
      <c r="F21" s="31"/>
    </row>
    <row r="22" spans="1:6" ht="15.75" x14ac:dyDescent="0.25">
      <c r="A22" s="31"/>
      <c r="B22" s="271" t="s">
        <v>293</v>
      </c>
      <c r="C22" s="272"/>
      <c r="D22" s="272" t="s">
        <v>294</v>
      </c>
      <c r="E22" s="273"/>
      <c r="F22" s="31"/>
    </row>
    <row r="23" spans="1:6" ht="63" x14ac:dyDescent="0.25">
      <c r="A23" s="31"/>
      <c r="B23" s="96" t="s">
        <v>295</v>
      </c>
      <c r="C23" s="165" t="s">
        <v>468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48" zoomScale="55" zoomScaleNormal="100" zoomScaleSheetLayoutView="55" workbookViewId="0">
      <selection activeCell="C25" sqref="C25:D54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27" t="str">
        <f>'1. паспорт местоположение'!$A$5</f>
        <v>Год раскрытия информации: 2025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44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</row>
    <row r="9" spans="1:44" x14ac:dyDescent="0.25">
      <c r="A9" s="232" t="str">
        <f>'3.3 паспорт описание'!A9:C9</f>
        <v>АО "Чеченэнерго"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</row>
    <row r="10" spans="1:44" x14ac:dyDescent="0.25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</row>
    <row r="11" spans="1:44" x14ac:dyDescent="0.25">
      <c r="A11" s="260"/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</row>
    <row r="12" spans="1:44" x14ac:dyDescent="0.25">
      <c r="A12" s="232" t="str">
        <f>'3.3 паспорт описание'!A12:C12</f>
        <v>M_Che427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</row>
    <row r="13" spans="1:44" x14ac:dyDescent="0.25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</row>
    <row r="14" spans="1:44" x14ac:dyDescent="0.25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</row>
    <row r="15" spans="1:44" ht="30" customHeight="1" x14ac:dyDescent="0.25">
      <c r="A15" s="234" t="str">
        <f>'3.3 паспорт описание'!A15:C15</f>
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</row>
    <row r="16" spans="1:44" x14ac:dyDescent="0.25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88" t="s">
        <v>273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0" t="s">
        <v>158</v>
      </c>
      <c r="B21" s="280" t="s">
        <v>157</v>
      </c>
      <c r="C21" s="283" t="s">
        <v>219</v>
      </c>
      <c r="D21" s="284"/>
      <c r="E21" s="284"/>
      <c r="F21" s="284"/>
      <c r="G21" s="284"/>
      <c r="H21" s="285"/>
      <c r="I21" s="277" t="s">
        <v>156</v>
      </c>
      <c r="J21" s="277" t="s">
        <v>221</v>
      </c>
      <c r="K21" s="280" t="s">
        <v>155</v>
      </c>
      <c r="L21" s="289" t="s">
        <v>220</v>
      </c>
    </row>
    <row r="22" spans="1:12" ht="58.5" customHeight="1" x14ac:dyDescent="0.25">
      <c r="A22" s="281"/>
      <c r="B22" s="281"/>
      <c r="C22" s="286" t="s">
        <v>0</v>
      </c>
      <c r="D22" s="287"/>
      <c r="E22" s="19"/>
      <c r="F22" s="20"/>
      <c r="G22" s="286" t="s">
        <v>7</v>
      </c>
      <c r="H22" s="287"/>
      <c r="I22" s="278"/>
      <c r="J22" s="278"/>
      <c r="K22" s="281"/>
      <c r="L22" s="290"/>
    </row>
    <row r="23" spans="1:12" ht="34.5" customHeight="1" x14ac:dyDescent="0.25">
      <c r="A23" s="282"/>
      <c r="B23" s="282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79"/>
      <c r="J23" s="279"/>
      <c r="K23" s="282"/>
      <c r="L23" s="291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359"/>
      <c r="D25" s="359"/>
      <c r="E25" s="211"/>
      <c r="F25" s="211"/>
      <c r="G25" s="211"/>
      <c r="H25" s="211"/>
      <c r="I25" s="211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212">
        <v>44294</v>
      </c>
      <c r="D26" s="212">
        <v>44294</v>
      </c>
      <c r="E26" s="213" t="s">
        <v>288</v>
      </c>
      <c r="F26" s="213" t="s">
        <v>288</v>
      </c>
      <c r="G26" s="214">
        <v>44294</v>
      </c>
      <c r="H26" s="214">
        <v>44294</v>
      </c>
      <c r="I26" s="215">
        <v>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212" t="s">
        <v>301</v>
      </c>
      <c r="D27" s="212" t="s">
        <v>301</v>
      </c>
      <c r="E27" s="213" t="s">
        <v>288</v>
      </c>
      <c r="F27" s="213" t="s">
        <v>288</v>
      </c>
      <c r="G27" s="214" t="s">
        <v>301</v>
      </c>
      <c r="H27" s="214" t="s">
        <v>301</v>
      </c>
      <c r="I27" s="215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212" t="s">
        <v>301</v>
      </c>
      <c r="D28" s="212" t="s">
        <v>301</v>
      </c>
      <c r="E28" s="213" t="s">
        <v>288</v>
      </c>
      <c r="F28" s="213" t="s">
        <v>288</v>
      </c>
      <c r="G28" s="214" t="s">
        <v>301</v>
      </c>
      <c r="H28" s="214" t="s">
        <v>301</v>
      </c>
      <c r="I28" s="215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212" t="s">
        <v>301</v>
      </c>
      <c r="D29" s="212" t="s">
        <v>301</v>
      </c>
      <c r="E29" s="213" t="s">
        <v>288</v>
      </c>
      <c r="F29" s="213" t="s">
        <v>288</v>
      </c>
      <c r="G29" s="214" t="s">
        <v>301</v>
      </c>
      <c r="H29" s="214" t="s">
        <v>301</v>
      </c>
      <c r="I29" s="215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212" t="s">
        <v>301</v>
      </c>
      <c r="D30" s="212" t="s">
        <v>301</v>
      </c>
      <c r="E30" s="211"/>
      <c r="F30" s="211"/>
      <c r="G30" s="214" t="s">
        <v>301</v>
      </c>
      <c r="H30" s="214" t="s">
        <v>301</v>
      </c>
      <c r="I30" s="215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212">
        <v>44407</v>
      </c>
      <c r="D31" s="212">
        <v>44407</v>
      </c>
      <c r="E31" s="211"/>
      <c r="F31" s="211"/>
      <c r="G31" s="214">
        <v>44407</v>
      </c>
      <c r="H31" s="214">
        <v>44407</v>
      </c>
      <c r="I31" s="215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212">
        <v>44419</v>
      </c>
      <c r="D32" s="212">
        <v>44419</v>
      </c>
      <c r="E32" s="211"/>
      <c r="F32" s="211"/>
      <c r="G32" s="214">
        <v>44419</v>
      </c>
      <c r="H32" s="214">
        <v>44419</v>
      </c>
      <c r="I32" s="215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216">
        <v>44476</v>
      </c>
      <c r="D33" s="216">
        <v>44476</v>
      </c>
      <c r="E33" s="211"/>
      <c r="F33" s="211"/>
      <c r="G33" s="217">
        <v>44476</v>
      </c>
      <c r="H33" s="217">
        <v>44476</v>
      </c>
      <c r="I33" s="215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212" t="s">
        <v>288</v>
      </c>
      <c r="D34" s="212" t="s">
        <v>288</v>
      </c>
      <c r="E34" s="213" t="s">
        <v>288</v>
      </c>
      <c r="F34" s="213" t="s">
        <v>288</v>
      </c>
      <c r="G34" s="214" t="s">
        <v>288</v>
      </c>
      <c r="H34" s="214" t="s">
        <v>288</v>
      </c>
      <c r="I34" s="215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212">
        <v>44547</v>
      </c>
      <c r="D35" s="212">
        <v>44547</v>
      </c>
      <c r="E35" s="218"/>
      <c r="F35" s="218"/>
      <c r="G35" s="214">
        <v>44547</v>
      </c>
      <c r="H35" s="214">
        <v>44547</v>
      </c>
      <c r="I35" s="215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212">
        <v>44880</v>
      </c>
      <c r="D36" s="212">
        <v>44895</v>
      </c>
      <c r="E36" s="213">
        <v>42884</v>
      </c>
      <c r="F36" s="213">
        <v>42884</v>
      </c>
      <c r="G36" s="214">
        <v>44880</v>
      </c>
      <c r="H36" s="214">
        <v>44895</v>
      </c>
      <c r="I36" s="215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219">
        <v>44407</v>
      </c>
      <c r="D37" s="219">
        <v>44419</v>
      </c>
      <c r="E37" s="220"/>
      <c r="F37" s="218"/>
      <c r="G37" s="221">
        <f>G31</f>
        <v>44407</v>
      </c>
      <c r="H37" s="221">
        <f>H32</f>
        <v>44419</v>
      </c>
      <c r="I37" s="215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212"/>
      <c r="D38" s="212"/>
      <c r="E38" s="222"/>
      <c r="F38" s="222"/>
      <c r="G38" s="214"/>
      <c r="H38" s="214"/>
      <c r="I38" s="215"/>
      <c r="J38" s="38"/>
      <c r="K38" s="4"/>
      <c r="L38" s="4"/>
    </row>
    <row r="39" spans="1:12" s="36" customFormat="1" ht="78.75" x14ac:dyDescent="0.25">
      <c r="A39" s="138">
        <v>2</v>
      </c>
      <c r="B39" s="95" t="s">
        <v>235</v>
      </c>
      <c r="C39" s="216">
        <v>44907</v>
      </c>
      <c r="D39" s="216">
        <v>44907</v>
      </c>
      <c r="E39" s="222"/>
      <c r="F39" s="222"/>
      <c r="G39" s="217">
        <v>44907</v>
      </c>
      <c r="H39" s="217">
        <v>44907</v>
      </c>
      <c r="I39" s="215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216">
        <v>44915</v>
      </c>
      <c r="D40" s="216">
        <v>44946</v>
      </c>
      <c r="E40" s="222"/>
      <c r="F40" s="222"/>
      <c r="G40" s="217">
        <v>44915</v>
      </c>
      <c r="H40" s="217">
        <v>44946</v>
      </c>
      <c r="I40" s="215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212"/>
      <c r="D41" s="212"/>
      <c r="E41" s="222"/>
      <c r="F41" s="222"/>
      <c r="G41" s="214"/>
      <c r="H41" s="214"/>
      <c r="I41" s="215"/>
      <c r="J41" s="38"/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216">
        <v>44905</v>
      </c>
      <c r="D42" s="216">
        <v>44915</v>
      </c>
      <c r="E42" s="222"/>
      <c r="F42" s="222"/>
      <c r="G42" s="217">
        <v>44907</v>
      </c>
      <c r="H42" s="217">
        <v>44915</v>
      </c>
      <c r="I42" s="215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216">
        <v>44946</v>
      </c>
      <c r="D43" s="216">
        <v>45488</v>
      </c>
      <c r="E43" s="222"/>
      <c r="F43" s="222"/>
      <c r="G43" s="217">
        <v>44946</v>
      </c>
      <c r="H43" s="217">
        <v>45366</v>
      </c>
      <c r="I43" s="215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216">
        <v>44995</v>
      </c>
      <c r="D44" s="216">
        <v>45590</v>
      </c>
      <c r="E44" s="222"/>
      <c r="F44" s="222"/>
      <c r="G44" s="217">
        <v>44995</v>
      </c>
      <c r="H44" s="214">
        <v>45376</v>
      </c>
      <c r="I44" s="215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216">
        <v>45592</v>
      </c>
      <c r="D45" s="216">
        <v>45592</v>
      </c>
      <c r="E45" s="213" t="s">
        <v>288</v>
      </c>
      <c r="F45" s="213" t="s">
        <v>288</v>
      </c>
      <c r="G45" s="214">
        <v>45617</v>
      </c>
      <c r="H45" s="214">
        <v>45617</v>
      </c>
      <c r="I45" s="215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212" t="s">
        <v>288</v>
      </c>
      <c r="D46" s="212" t="s">
        <v>288</v>
      </c>
      <c r="E46" s="213" t="s">
        <v>288</v>
      </c>
      <c r="F46" s="213" t="s">
        <v>288</v>
      </c>
      <c r="G46" s="215" t="s">
        <v>301</v>
      </c>
      <c r="H46" s="215" t="s">
        <v>301</v>
      </c>
      <c r="I46" s="215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216">
        <v>45592</v>
      </c>
      <c r="D47" s="216">
        <v>45623</v>
      </c>
      <c r="E47" s="222"/>
      <c r="F47" s="222"/>
      <c r="G47" s="214">
        <v>45464</v>
      </c>
      <c r="H47" s="214">
        <v>45620</v>
      </c>
      <c r="I47" s="215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212"/>
      <c r="D48" s="212"/>
      <c r="E48" s="222"/>
      <c r="F48" s="222"/>
      <c r="G48" s="215"/>
      <c r="H48" s="215"/>
      <c r="I48" s="215"/>
      <c r="J48" s="38"/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216">
        <v>45623</v>
      </c>
      <c r="D49" s="216">
        <v>45625</v>
      </c>
      <c r="E49" s="222"/>
      <c r="F49" s="222"/>
      <c r="G49" s="214">
        <v>45621</v>
      </c>
      <c r="H49" s="214">
        <v>45623</v>
      </c>
      <c r="I49" s="215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216">
        <v>45626</v>
      </c>
      <c r="D50" s="216">
        <v>45626</v>
      </c>
      <c r="E50" s="215" t="s">
        <v>301</v>
      </c>
      <c r="F50" s="215" t="s">
        <v>301</v>
      </c>
      <c r="G50" s="214">
        <v>45651</v>
      </c>
      <c r="H50" s="214">
        <v>45651</v>
      </c>
      <c r="I50" s="215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216">
        <v>45626</v>
      </c>
      <c r="D51" s="216">
        <v>45626</v>
      </c>
      <c r="E51" s="213" t="s">
        <v>288</v>
      </c>
      <c r="F51" s="213" t="s">
        <v>288</v>
      </c>
      <c r="G51" s="214">
        <v>45654</v>
      </c>
      <c r="H51" s="214">
        <v>45654</v>
      </c>
      <c r="I51" s="215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216">
        <v>45626</v>
      </c>
      <c r="D52" s="216">
        <v>45626</v>
      </c>
      <c r="E52" s="213" t="s">
        <v>288</v>
      </c>
      <c r="F52" s="213" t="s">
        <v>288</v>
      </c>
      <c r="G52" s="215" t="s">
        <v>301</v>
      </c>
      <c r="H52" s="215" t="s">
        <v>301</v>
      </c>
      <c r="I52" s="215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216">
        <v>45626</v>
      </c>
      <c r="D53" s="216">
        <v>45626</v>
      </c>
      <c r="E53" s="215" t="s">
        <v>301</v>
      </c>
      <c r="F53" s="215" t="s">
        <v>301</v>
      </c>
      <c r="G53" s="214">
        <v>45656</v>
      </c>
      <c r="H53" s="214">
        <v>45656</v>
      </c>
      <c r="I53" s="215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223" t="s">
        <v>301</v>
      </c>
      <c r="D54" s="223" t="s">
        <v>301</v>
      </c>
      <c r="E54" s="222">
        <v>43458</v>
      </c>
      <c r="F54" s="222">
        <v>43458</v>
      </c>
      <c r="G54" s="214" t="s">
        <v>288</v>
      </c>
      <c r="H54" s="214" t="s">
        <v>288</v>
      </c>
      <c r="I54" s="215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2025-03-12T13:44:43Z</dcterms:modified>
</cp:coreProperties>
</file>