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605" yWindow="585" windowWidth="19320" windowHeight="11760" tabRatio="887"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26" r:id="rId4"/>
    <sheet name="3.3 паспорт описание" sheetId="6" r:id="rId5"/>
    <sheet name="3.4. Паспорт надежность" sheetId="28" r:id="rId6"/>
    <sheet name="4. паспортбюджет" sheetId="27" r:id="rId7"/>
    <sheet name="5.анализ эконом.эфф." sheetId="23" r:id="rId8"/>
    <sheet name="6.1. Паспорт сетевой график" sheetId="29" r:id="rId9"/>
    <sheet name="6.2. Паспорт фин осв ввод" sheetId="15" r:id="rId10"/>
    <sheet name="7. Паспорт отчет о закупке" sheetId="30"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местоположение'!$A$1:$C$50</definedName>
    <definedName name="_xlnm.Print_Area" localSheetId="4">'3.3 паспорт описание'!$A$1:$C$30</definedName>
    <definedName name="_xlnm.Print_Area" localSheetId="9">'6.2. Паспорт фин осв ввод'!$A$1:$K$64</definedName>
  </definedNames>
  <calcPr calcId="162913"/>
</workbook>
</file>

<file path=xl/calcChain.xml><?xml version="1.0" encoding="utf-8"?>
<calcChain xmlns="http://schemas.openxmlformats.org/spreadsheetml/2006/main">
  <c r="C59" i="22" l="1"/>
  <c r="C57" i="22"/>
  <c r="K42" i="15" l="1"/>
  <c r="J42" i="15"/>
  <c r="G42" i="15"/>
  <c r="K41" i="15"/>
  <c r="J41" i="15"/>
  <c r="G41" i="15"/>
  <c r="K40" i="15"/>
  <c r="J40" i="15"/>
  <c r="G40" i="15"/>
  <c r="K39" i="15"/>
  <c r="J39" i="15"/>
  <c r="G39" i="15"/>
  <c r="K38" i="15"/>
  <c r="J38" i="15"/>
  <c r="G38" i="15"/>
  <c r="K37" i="15"/>
  <c r="J37" i="15"/>
  <c r="G37" i="15"/>
  <c r="K36" i="15"/>
  <c r="J36" i="15"/>
  <c r="G36" i="15"/>
  <c r="A5" i="7"/>
  <c r="B54" i="22" l="1"/>
  <c r="A5" i="22" l="1"/>
  <c r="A5" i="23"/>
  <c r="A5" i="27"/>
  <c r="A4" i="28"/>
  <c r="A5" i="6"/>
  <c r="B30" i="22" l="1"/>
  <c r="B29" i="22"/>
  <c r="D42" i="15" l="1"/>
  <c r="E42" i="15"/>
  <c r="D41" i="15"/>
  <c r="E41" i="15"/>
  <c r="D40" i="15"/>
  <c r="E40" i="15"/>
  <c r="D39" i="15"/>
  <c r="E39" i="15"/>
  <c r="D38" i="15"/>
  <c r="E38" i="15"/>
  <c r="D37" i="15"/>
  <c r="E37" i="15"/>
  <c r="D36" i="15"/>
  <c r="E36" i="15"/>
  <c r="B23" i="22" l="1"/>
  <c r="B22" i="22"/>
  <c r="A4" i="15" l="1"/>
  <c r="A5" i="30"/>
  <c r="A11" i="28"/>
  <c r="A12" i="27" s="1"/>
  <c r="A12" i="23" s="1"/>
  <c r="A12" i="29" s="1"/>
  <c r="A12" i="6"/>
  <c r="A12" i="26"/>
  <c r="A13" i="25"/>
  <c r="A11" i="24"/>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A11" i="15" l="1"/>
  <c r="A12" i="30"/>
  <c r="A12" i="22" s="1"/>
  <c r="B51" i="22" l="1"/>
  <c r="B27" i="22" l="1"/>
  <c r="G63" i="15"/>
  <c r="G61" i="15"/>
  <c r="G57" i="15"/>
  <c r="G55" i="15"/>
  <c r="G53" i="15"/>
  <c r="G50" i="15"/>
  <c r="G48" i="15"/>
  <c r="G46" i="15"/>
  <c r="G44" i="15"/>
  <c r="H28" i="15"/>
  <c r="G27" i="15"/>
  <c r="J25" i="15"/>
  <c r="C30" i="6"/>
  <c r="B26" i="22" s="1"/>
  <c r="G64" i="15"/>
  <c r="G60" i="15"/>
  <c r="G54" i="15"/>
  <c r="G49" i="15"/>
  <c r="G45" i="15"/>
  <c r="C34" i="15"/>
  <c r="C32" i="15"/>
  <c r="C31" i="15"/>
  <c r="G25" i="15"/>
  <c r="D25" i="15" s="1"/>
  <c r="C54" i="15"/>
  <c r="C49" i="15"/>
  <c r="C45" i="15"/>
  <c r="G30" i="15"/>
  <c r="J28" i="15"/>
  <c r="K28" i="15" s="1"/>
  <c r="G26" i="15"/>
  <c r="G24" i="15"/>
  <c r="B25" i="22"/>
  <c r="C57" i="15"/>
  <c r="C55" i="15"/>
  <c r="C53" i="15"/>
  <c r="C50" i="15"/>
  <c r="C48" i="15"/>
  <c r="C46" i="15"/>
  <c r="C44" i="15"/>
  <c r="G34" i="15"/>
  <c r="G33" i="15"/>
  <c r="G32" i="15"/>
  <c r="G31" i="15"/>
  <c r="I30" i="15"/>
  <c r="G28" i="15"/>
  <c r="J26" i="15"/>
  <c r="H25" i="15"/>
  <c r="C29" i="6"/>
  <c r="G62" i="15"/>
  <c r="G56" i="15"/>
  <c r="G52" i="15"/>
  <c r="G47" i="15"/>
  <c r="C33" i="15"/>
  <c r="G29" i="15"/>
  <c r="H26" i="15"/>
  <c r="C28" i="6"/>
  <c r="C56" i="15"/>
  <c r="C52" i="15"/>
  <c r="C47" i="15"/>
  <c r="C30" i="15"/>
  <c r="H27" i="15"/>
  <c r="K26" i="15" l="1"/>
  <c r="F26" i="15"/>
  <c r="E26" i="15" s="1"/>
  <c r="E34" i="15"/>
  <c r="C28" i="15"/>
  <c r="E63" i="15"/>
  <c r="E62" i="15"/>
  <c r="D28" i="15"/>
  <c r="E28" i="15"/>
  <c r="E31" i="15"/>
  <c r="E61" i="15"/>
  <c r="C26" i="15"/>
  <c r="E32" i="15"/>
  <c r="D26" i="15"/>
  <c r="E64" i="15"/>
  <c r="K25" i="15"/>
  <c r="F25" i="15"/>
  <c r="E25" i="15" s="1"/>
  <c r="E29" i="15"/>
  <c r="C25" i="15"/>
  <c r="E60" i="15"/>
  <c r="A15" i="7" l="1"/>
  <c r="A15" i="6" l="1"/>
  <c r="A16" i="25"/>
  <c r="A14" i="28"/>
  <c r="A15" i="27" s="1"/>
  <c r="A15" i="23" s="1"/>
  <c r="A15" i="29" s="1"/>
  <c r="B21" i="22"/>
  <c r="A14" i="24"/>
  <c r="A15" i="26"/>
  <c r="A15" i="30" l="1"/>
  <c r="A15" i="22" s="1"/>
  <c r="A14" i="15"/>
  <c r="E24" i="15" l="1"/>
  <c r="F24" i="15"/>
  <c r="F27" i="15" s="1"/>
  <c r="E27" i="15" s="1"/>
  <c r="E30" i="15" l="1"/>
  <c r="F30" i="15"/>
  <c r="F33" i="15" s="1"/>
  <c r="E33" i="15" s="1"/>
  <c r="K24" i="15" l="1"/>
  <c r="J27" i="15" l="1"/>
  <c r="K27" i="15" l="1"/>
  <c r="J29" i="15"/>
  <c r="K63" i="15"/>
  <c r="K61" i="15"/>
  <c r="D24" i="15"/>
  <c r="K29" i="15" l="1"/>
  <c r="D29" i="15"/>
  <c r="C48" i="7"/>
  <c r="B57" i="22"/>
  <c r="B56" i="22" s="1"/>
  <c r="D30" i="15"/>
  <c r="J24" i="15"/>
  <c r="D27" i="15" s="1"/>
  <c r="J63" i="15"/>
  <c r="D63" i="15" s="1"/>
  <c r="J61" i="15"/>
  <c r="D61" i="15" s="1"/>
  <c r="I63" i="15"/>
  <c r="H30" i="15"/>
  <c r="D33" i="15" l="1"/>
  <c r="B59" i="22"/>
  <c r="B58" i="22" s="1"/>
  <c r="C49" i="7"/>
  <c r="I61" i="15"/>
  <c r="I64" i="15"/>
  <c r="H24" i="15"/>
  <c r="H61" i="15"/>
  <c r="K62" i="15"/>
  <c r="I60" i="15"/>
  <c r="I62" i="15"/>
  <c r="C61" i="15" l="1"/>
  <c r="H62" i="15"/>
  <c r="C63" i="15"/>
  <c r="H60" i="15"/>
  <c r="C62" i="15"/>
  <c r="H63" i="15"/>
  <c r="K64" i="15"/>
  <c r="K60" i="15"/>
  <c r="C60" i="15"/>
  <c r="I25" i="15"/>
  <c r="C24" i="15"/>
  <c r="C27" i="15" s="1"/>
  <c r="H29" i="15"/>
  <c r="I27" i="15"/>
  <c r="I26" i="15"/>
  <c r="I28" i="15"/>
  <c r="I24" i="15"/>
  <c r="J60" i="15"/>
  <c r="D60" i="15" s="1"/>
  <c r="J62" i="15"/>
  <c r="D62" i="15" s="1"/>
  <c r="I29" i="15" l="1"/>
  <c r="C29" i="15"/>
  <c r="C64" i="15"/>
  <c r="H64" i="15"/>
  <c r="J64" i="15"/>
  <c r="D64" i="15" s="1"/>
  <c r="H48" i="15" l="1"/>
  <c r="J48" i="15"/>
  <c r="H49" i="15"/>
  <c r="I47" i="15"/>
  <c r="I48" i="15"/>
  <c r="I49" i="15"/>
  <c r="K49" i="15"/>
  <c r="J49" i="15"/>
  <c r="K48" i="15"/>
  <c r="H47" i="15"/>
  <c r="K47" i="15"/>
  <c r="J47" i="15"/>
  <c r="F48" i="15" l="1"/>
  <c r="E48" i="15" s="1"/>
  <c r="D48" i="15"/>
  <c r="F47" i="15"/>
  <c r="E47" i="15" s="1"/>
  <c r="D47" i="15"/>
  <c r="F49" i="15"/>
  <c r="E49" i="15" s="1"/>
  <c r="D49" i="15"/>
  <c r="J33" i="15" l="1"/>
  <c r="K33" i="15" s="1"/>
  <c r="J34" i="15"/>
  <c r="J30" i="15"/>
  <c r="J32" i="15"/>
  <c r="K30" i="15"/>
  <c r="J31" i="15"/>
  <c r="K31" i="15" l="1"/>
  <c r="D31" i="15"/>
  <c r="K32" i="15"/>
  <c r="D32" i="15"/>
  <c r="K34" i="15"/>
  <c r="D34" i="15"/>
  <c r="I56" i="15" l="1"/>
  <c r="J56" i="15"/>
  <c r="K56" i="15"/>
  <c r="I52" i="15"/>
  <c r="J52" i="15"/>
  <c r="H56" i="15"/>
  <c r="K52" i="15"/>
  <c r="H52" i="15"/>
  <c r="H50" i="15" l="1"/>
  <c r="H57" i="15"/>
  <c r="H44" i="15"/>
  <c r="H53" i="15"/>
  <c r="F52" i="15"/>
  <c r="E52" i="15" s="1"/>
  <c r="D52" i="15"/>
  <c r="K45" i="15"/>
  <c r="K54" i="15"/>
  <c r="J53" i="15"/>
  <c r="J44" i="15"/>
  <c r="H54" i="15"/>
  <c r="H45" i="15"/>
  <c r="I54" i="15"/>
  <c r="I45" i="15"/>
  <c r="I46" i="15"/>
  <c r="I55" i="15"/>
  <c r="K53" i="15"/>
  <c r="K44" i="15"/>
  <c r="F56" i="15"/>
  <c r="E56" i="15" s="1"/>
  <c r="D56" i="15"/>
  <c r="J54" i="15"/>
  <c r="J45" i="15"/>
  <c r="J55" i="15"/>
  <c r="J46" i="15"/>
  <c r="H46" i="15"/>
  <c r="H55" i="15"/>
  <c r="K55" i="15"/>
  <c r="K46" i="15"/>
  <c r="I44" i="15"/>
  <c r="I53" i="15"/>
  <c r="J50" i="15" l="1"/>
  <c r="J57" i="15"/>
  <c r="F53" i="15"/>
  <c r="E53" i="15" s="1"/>
  <c r="D53" i="15"/>
  <c r="K57" i="15"/>
  <c r="K50" i="15"/>
  <c r="F55" i="15"/>
  <c r="E55" i="15" s="1"/>
  <c r="D55" i="15"/>
  <c r="I57" i="15"/>
  <c r="I50" i="15"/>
  <c r="F45" i="15"/>
  <c r="E45" i="15" s="1"/>
  <c r="D45" i="15"/>
  <c r="F46" i="15"/>
  <c r="E46" i="15" s="1"/>
  <c r="D46" i="15"/>
  <c r="F54" i="15"/>
  <c r="E54" i="15" s="1"/>
  <c r="D54" i="15"/>
  <c r="F44" i="15"/>
  <c r="E44" i="15" s="1"/>
  <c r="D44" i="15"/>
  <c r="F57" i="15" l="1"/>
  <c r="E57" i="15" s="1"/>
  <c r="D57" i="15"/>
  <c r="F50" i="15"/>
  <c r="E50" i="15" s="1"/>
  <c r="D50" i="15"/>
</calcChain>
</file>

<file path=xl/sharedStrings.xml><?xml version="1.0" encoding="utf-8"?>
<sst xmlns="http://schemas.openxmlformats.org/spreadsheetml/2006/main" count="1143" uniqueCount="491">
  <si>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</si>
  <si>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</si>
  <si>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</si>
  <si>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</si>
  <si>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</si>
  <si>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</si>
  <si>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</si>
  <si>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</si>
  <si>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</si>
  <si>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</si>
  <si>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</si>
  <si>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</si>
  <si>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</si>
  <si>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</si>
  <si>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</si>
  <si>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</si>
  <si>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</si>
  <si>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</si>
  <si>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</si>
  <si>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</si>
  <si>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</si>
  <si>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</si>
  <si>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</si>
  <si>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</si>
  <si>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</si>
  <si>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</si>
  <si>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</si>
  <si>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</si>
  <si>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</si>
  <si>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</si>
  <si>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</si>
  <si>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</si>
  <si>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</si>
  <si>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</si>
  <si>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</si>
  <si>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</si>
  <si>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</si>
  <si>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</si>
  <si>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</si>
  <si>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</si>
  <si>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</si>
  <si>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</si>
  <si>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</si>
  <si>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</si>
  <si>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</si>
  <si>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</si>
  <si>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</si>
  <si>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</si>
  <si>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</si>
  <si>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</si>
  <si>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</si>
  <si>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</si>
  <si>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</si>
  <si>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</si>
  <si>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</si>
  <si>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</si>
  <si>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</si>
  <si>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</si>
  <si>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</si>
  <si>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</si>
  <si>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</si>
  <si>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</si>
  <si>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</si>
  <si>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</si>
  <si>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</si>
  <si>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</si>
  <si>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</si>
  <si>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</si>
  <si>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</si>
  <si>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</si>
  <si>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</si>
  <si>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</si>
  <si>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</si>
  <si>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</si>
  <si>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</si>
  <si>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</si>
  <si>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</si>
  <si>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</si>
  <si>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</si>
  <si>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</si>
  <si>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</si>
  <si>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</si>
  <si>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</si>
  <si>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</si>
  <si>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</si>
  <si>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</si>
  <si>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</si>
  <si>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</si>
  <si>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</si>
  <si>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</si>
  <si>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</si>
  <si>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</si>
  <si>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</si>
  <si>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</si>
  <si>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</si>
  <si>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</si>
  <si>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</si>
  <si>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</si>
  <si>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</si>
  <si>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</si>
  <si>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</si>
  <si>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</si>
  <si>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</si>
  <si>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</si>
  <si>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</si>
  <si>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</si>
  <si>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</si>
  <si>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</si>
  <si>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</si>
  <si>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</si>
  <si>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</si>
  <si>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</si>
  <si>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</si>
  <si>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</si>
  <si>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</si>
  <si>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</si>
  <si>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</si>
  <si>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</si>
  <si>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</si>
  <si>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</si>
  <si>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</si>
  <si>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</si>
  <si>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</si>
  <si>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</si>
  <si>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</si>
  <si>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</si>
  <si>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</si>
  <si>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</si>
  <si>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</si>
  <si>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</si>
  <si>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</si>
  <si>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</si>
  <si>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</si>
  <si>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</si>
  <si>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</si>
  <si>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</si>
  <si>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</si>
  <si>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</si>
  <si>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</si>
  <si>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</si>
  <si>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</si>
  <si>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</si>
  <si>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</si>
  <si>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</si>
  <si>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</si>
  <si>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</si>
  <si>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</si>
  <si>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</si>
  <si>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</si>
  <si>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</si>
  <si>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</si>
  <si>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</si>
  <si>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</si>
  <si>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</si>
  <si>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</si>
  <si>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</si>
  <si>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</si>
  <si>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</si>
  <si>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</si>
  <si>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</si>
  <si>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</si>
  <si>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</si>
  <si>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</si>
  <si>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</si>
  <si>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</si>
  <si>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</si>
  <si>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</si>
  <si>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</si>
  <si>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</si>
  <si>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</si>
  <si>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</si>
  <si>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</si>
  <si>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</si>
  <si>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</si>
  <si>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</si>
  <si>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</si>
  <si>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</si>
  <si>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</si>
  <si>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Чеченская Республика</t>
  </si>
  <si>
    <t>не требуется</t>
  </si>
  <si>
    <t>нет</t>
  </si>
  <si>
    <t>20</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</si>
  <si>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</si>
  <si>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</si>
  <si>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</si>
  <si>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</si>
  <si>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</si>
  <si>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</si>
  <si>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</si>
  <si>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</si>
  <si>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решение управленческих нужд организации</t>
  </si>
  <si>
    <t xml:space="preserve">обеспечит необходимыми средствами для решения производственных задач
</t>
  </si>
  <si>
    <t>Закупка оборудования</t>
  </si>
  <si>
    <t>Производственная необходимость</t>
  </si>
  <si>
    <t>Сметная стоимость проекта в ценах _2016_ года с НДС, млн. руб.</t>
  </si>
  <si>
    <t>Прочие инвестиционные проекты</t>
  </si>
  <si>
    <t xml:space="preserve">Цели </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</si>
  <si>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</si>
  <si>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предусмотрено</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</si>
  <si>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</si>
  <si>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</si>
  <si>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</si>
  <si>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</si>
  <si>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</si>
  <si>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</si>
  <si>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</si>
  <si>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</si>
  <si>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</si>
  <si>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в СиПР не предусмотрен</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</si>
  <si>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</si>
  <si>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</si>
  <si>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</si>
  <si>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</si>
  <si>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</si>
  <si>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</si>
  <si>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</si>
  <si>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</si>
  <si>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</si>
  <si>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</si>
  <si>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</si>
  <si>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</si>
  <si>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</si>
  <si>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</si>
  <si>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</si>
  <si>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</si>
  <si>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</si>
  <si>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</si>
  <si>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</si>
  <si>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</si>
  <si>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</si>
  <si>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</si>
  <si>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</si>
  <si>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</si>
  <si>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</si>
  <si>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</si>
  <si>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</si>
  <si>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</si>
  <si>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</si>
  <si>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</si>
  <si>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</si>
  <si>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</si>
  <si>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</si>
  <si>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</si>
  <si>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</si>
  <si>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</si>
  <si>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</si>
  <si>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</si>
  <si>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</si>
  <si>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</si>
  <si>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</si>
  <si>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</si>
  <si>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</si>
  <si>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</si>
  <si>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</si>
  <si>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</si>
  <si>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</si>
  <si>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</si>
  <si>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</si>
  <si>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</si>
  <si>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</si>
  <si>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</si>
  <si>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</si>
  <si>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</si>
  <si>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</si>
  <si>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</si>
  <si>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</si>
  <si>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</si>
  <si>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</si>
  <si>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</si>
  <si>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</si>
  <si>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</si>
  <si>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</si>
  <si>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</si>
  <si>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</si>
  <si>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</si>
  <si>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</si>
  <si>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</si>
  <si>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</si>
  <si>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</si>
  <si>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</si>
  <si>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</si>
  <si>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</si>
  <si>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</si>
  <si>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</si>
  <si>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</si>
  <si>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</si>
  <si>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</si>
  <si>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</si>
  <si>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</si>
  <si>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</si>
  <si>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</si>
  <si>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</si>
  <si>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</si>
  <si>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</si>
  <si>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</si>
  <si>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</si>
  <si>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</si>
  <si>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</si>
  <si>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</si>
  <si>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</si>
  <si>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</si>
  <si>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</si>
  <si>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</si>
  <si>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</si>
  <si>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</si>
  <si>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</si>
  <si>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</si>
  <si>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</si>
  <si>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</si>
  <si>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</si>
  <si>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</si>
  <si>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</si>
  <si>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</si>
  <si>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</si>
  <si>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</si>
  <si>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</si>
  <si>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</si>
  <si>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</si>
  <si>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</si>
  <si>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</si>
  <si>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</si>
  <si>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</si>
  <si>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</si>
  <si>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</si>
  <si>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</si>
  <si>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</si>
  <si>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</si>
  <si>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</si>
  <si>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</si>
  <si>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</si>
  <si>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</si>
  <si>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</si>
  <si>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</si>
  <si>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</si>
  <si>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</si>
  <si>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</si>
  <si>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</si>
  <si>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</si>
  <si>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</si>
  <si>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</si>
  <si>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</si>
  <si>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</si>
  <si>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</si>
  <si>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</si>
  <si>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</si>
  <si>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</si>
  <si>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</si>
  <si>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</si>
  <si>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</si>
  <si>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</si>
  <si>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</si>
  <si>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</si>
  <si>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</si>
  <si>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</si>
  <si>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</si>
  <si>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</si>
  <si>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</si>
  <si>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</si>
  <si>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</si>
  <si>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</si>
  <si>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</si>
  <si>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</si>
  <si>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</si>
  <si>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</si>
  <si>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</si>
  <si>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</si>
  <si>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</si>
  <si>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</si>
  <si>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</si>
  <si>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</si>
  <si>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</si>
  <si>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</si>
  <si>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</si>
  <si>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</si>
  <si>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</si>
  <si>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</si>
  <si>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</si>
  <si>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</si>
  <si>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</si>
  <si>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</si>
  <si>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</si>
  <si>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</si>
  <si>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</si>
  <si>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</si>
  <si>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</si>
  <si>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</si>
  <si>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</si>
  <si>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</si>
  <si>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</si>
  <si>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</si>
  <si>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</si>
  <si>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</si>
  <si>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</si>
  <si>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</si>
  <si>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</si>
  <si>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</si>
  <si>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</si>
  <si>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</si>
  <si>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</si>
  <si>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</si>
  <si>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</si>
  <si>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</si>
  <si>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АО "Чеченэнерго"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</si>
  <si>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</si>
  <si>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</si>
  <si>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</si>
  <si>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</si>
  <si>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</si>
  <si>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</si>
  <si>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</si>
  <si>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</si>
  <si>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</si>
  <si>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</si>
  <si>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</si>
  <si>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</si>
  <si>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</si>
  <si>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</si>
  <si>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</si>
  <si>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</si>
  <si>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</si>
  <si>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</si>
  <si>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</si>
  <si>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</si>
  <si>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</si>
  <si>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</si>
  <si>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</si>
  <si>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</si>
  <si>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</si>
  <si>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</si>
  <si>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</si>
  <si>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</si>
  <si>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</si>
  <si>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</si>
  <si>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</si>
  <si>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</si>
  <si>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</si>
  <si>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</si>
  <si>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</si>
  <si>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</si>
  <si>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</si>
  <si>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</si>
  <si>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</si>
  <si>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</si>
  <si>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</si>
  <si>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</si>
  <si>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</si>
  <si>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</si>
  <si>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</si>
  <si>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</si>
  <si>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</si>
  <si>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</si>
  <si>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Возможно реализовать в установленный срок</t>
  </si>
  <si>
    <t>шт.</t>
  </si>
  <si>
    <t>не применимо</t>
  </si>
  <si>
    <t>Итого за год (нарастающим итогом)</t>
  </si>
  <si>
    <t>за текущий квартал</t>
  </si>
  <si>
    <t>от «__» _____ 20    г. №___</t>
  </si>
  <si>
    <t>- прочие затраты по объекту, в т.ч.</t>
  </si>
  <si>
    <t>заработная плата производственного персонала</t>
  </si>
  <si>
    <t>проценты за пользование кредитными средствами</t>
  </si>
  <si>
    <t>оборудование освоенное хоз.способом</t>
  </si>
  <si>
    <t>Оборудование  в рамках Программы подготовки к ОЗП 2019/2020г.г. (первоочередная)</t>
  </si>
  <si>
    <t>Год раскрытия информации: 2021 год</t>
  </si>
  <si>
    <t>объем заключенного договора в ценах _2020_ года с НДС, млн. руб.</t>
  </si>
  <si>
    <t>L_Che442_21</t>
  </si>
  <si>
    <t>Приобретение оборудования</t>
  </si>
  <si>
    <t xml:space="preserve">Оборудование </t>
  </si>
  <si>
    <t xml:space="preserve">Выключатели
элегазовые ВЭБ-
УЭТМ-110 </t>
  </si>
  <si>
    <t xml:space="preserve">АО 
"Чеченэнерго" </t>
  </si>
  <si>
    <t>КП</t>
  </si>
  <si>
    <t>ОК</t>
  </si>
  <si>
    <t xml:space="preserve">1. ООО "Регионинжиниринг"
2. ООО "Техпромкомплект"
3. ООО "НИЙСО И К"
</t>
  </si>
  <si>
    <t xml:space="preserve">
41 662,600
41 600,00
41 622,600
</t>
  </si>
  <si>
    <t xml:space="preserve">1. ООО "Регионинжиниринг"
2. ООО "Техпромкомплект"
</t>
  </si>
  <si>
    <t xml:space="preserve">ООО "НИЙСО И К"
</t>
  </si>
  <si>
    <t xml:space="preserve"> 260820/24</t>
  </si>
  <si>
    <t>https://rosseti.roseltorg.ru/.</t>
  </si>
  <si>
    <t>18.05.2021</t>
  </si>
  <si>
    <t>27.05.2021</t>
  </si>
  <si>
    <t>31.05.2021</t>
  </si>
  <si>
    <t>14.07.2021</t>
  </si>
  <si>
    <t>14.08.2021</t>
  </si>
  <si>
    <t>ООО "НИЙСО И К"  № 63 от 14.07.2021</t>
  </si>
  <si>
    <t>Факт 2023 года</t>
  </si>
  <si>
    <t xml:space="preserve">2024 год </t>
  </si>
  <si>
    <t xml:space="preserve"> по состоянию на 01.01.2023</t>
  </si>
  <si>
    <t>по состоянию на 01.01.2024</t>
  </si>
  <si>
    <t>не требуются</t>
  </si>
  <si>
    <t>31.08.2022                             30.08.2024</t>
  </si>
  <si>
    <t>31.08.2022                      30.08.2024</t>
  </si>
  <si>
    <t>август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</si>
</sst>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Red]#,##0"/>
  </numFmts>
  <fonts count="77"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4"/>
      <color indexed="8"/>
      <name val="Calibri"/>
      <family val="2"/>
    </font>
    <font>
      <b/>
      <sz val="14"/>
      <color indexed="8"/>
      <name val="Arial"/>
      <family val="2"/>
      <charset val="204"/>
    </font>
    <font>
      <sz val="14"/>
      <color indexed="8"/>
      <name val="Arial"/>
      <family val="2"/>
      <charset val="204"/>
    </font>
    <font>
      <sz val="10"/>
      <name val="Times New Roman"/>
      <family val="1"/>
      <charset val="204"/>
    </font>
    <font>
      <sz val="10"/>
      <color indexed="9"/>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sz val="11"/>
      <color indexed="8"/>
      <name val="Calibri"/>
      <family val="2"/>
      <charset val="204"/>
    </font>
    <font>
      <sz val="12"/>
      <color indexed="8"/>
      <name val="Times New Roman"/>
      <family val="1"/>
      <charset val="204"/>
    </font>
    <font>
      <sz val="12"/>
      <color indexed="8"/>
      <name val="Calibri"/>
      <family val="2"/>
    </font>
    <font>
      <sz val="12"/>
      <color indexed="8"/>
      <name val="Arial"/>
      <family val="2"/>
      <charset val="204"/>
    </font>
    <font>
      <b/>
      <sz val="12"/>
      <color indexed="8"/>
      <name val="Arial"/>
      <family val="2"/>
      <charset val="204"/>
    </font>
    <font>
      <b/>
      <sz val="14"/>
      <color indexed="8"/>
      <name val="Times New Roman"/>
      <family val="1"/>
      <charset val="204"/>
    </font>
    <font>
      <b/>
      <u/>
      <sz val="12"/>
      <color indexed="8"/>
      <name val="Times New Roman"/>
      <family val="1"/>
      <charset val="204"/>
    </font>
    <font>
      <sz val="14"/>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2"/>
      <color indexed="8"/>
      <name val="Times New Roman"/>
      <family val="1"/>
      <charset val="204"/>
    </font>
    <font>
      <b/>
      <sz val="11"/>
      <color indexed="8"/>
      <name val="Times New Roman"/>
      <family val="1"/>
      <charset val="204"/>
    </font>
    <font>
      <sz val="11"/>
      <color indexed="8"/>
      <name val="Times New Roman"/>
      <family val="1"/>
      <charset val="204"/>
    </font>
    <font>
      <b/>
      <sz val="8"/>
      <color indexed="8"/>
      <name val="Times New Roman"/>
      <family val="1"/>
      <charset val="204"/>
    </font>
    <font>
      <b/>
      <sz val="12"/>
      <color indexed="8"/>
      <name val="Times New Roman"/>
      <family val="1"/>
      <charset val="204"/>
    </font>
    <font>
      <sz val="8"/>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
      <patternFill patternType="solid">
        <fgColor indexed="9"/>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8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27" fillId="0" borderId="0"/>
    <xf numFmtId="0" fontId="73" fillId="0" borderId="0"/>
    <xf numFmtId="0" fontId="12" fillId="0" borderId="0"/>
    <xf numFmtId="0" fontId="38" fillId="0" borderId="0"/>
    <xf numFmtId="0" fontId="9" fillId="0" borderId="0"/>
    <xf numFmtId="0" fontId="9" fillId="0" borderId="0"/>
    <xf numFmtId="0" fontId="27" fillId="0" borderId="0"/>
    <xf numFmtId="0" fontId="9" fillId="0" borderId="0"/>
    <xf numFmtId="0" fontId="74" fillId="0" borderId="0"/>
    <xf numFmtId="0" fontId="9" fillId="0" borderId="0"/>
    <xf numFmtId="0" fontId="74" fillId="0" borderId="0"/>
    <xf numFmtId="0" fontId="73" fillId="0" borderId="0"/>
    <xf numFmtId="0" fontId="73" fillId="0" borderId="0"/>
    <xf numFmtId="0" fontId="73" fillId="0" borderId="0"/>
    <xf numFmtId="0" fontId="73" fillId="0" borderId="0"/>
    <xf numFmtId="0" fontId="75" fillId="0" borderId="0"/>
    <xf numFmtId="0" fontId="73" fillId="0" borderId="0"/>
    <xf numFmtId="0" fontId="9" fillId="0" borderId="0"/>
    <xf numFmtId="0" fontId="27"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cellStyleXfs>
  <cellXfs count="379">
    <xf numFmtId="0" fontId="0" fillId="0" borderId="0" xfId="0"/>
    <xf numFmtId="0" fontId="75" fillId="0" borderId="0" xfId="53"/>
    <xf numFmtId="0" fontId="4" fillId="0" borderId="0" xfId="53" applyFont="1"/>
    <xf numFmtId="0" fontId="2" fillId="0" borderId="0" xfId="53" applyFont="1" applyAlignment="1">
      <alignment horizontal="center" vertical="center"/>
    </xf>
    <xf numFmtId="0" fontId="5" fillId="0" borderId="0" xfId="53" applyFont="1" applyAlignment="1">
      <alignment vertical="center"/>
    </xf>
    <xf numFmtId="0" fontId="6" fillId="0" borderId="0" xfId="53" applyFont="1" applyAlignment="1">
      <alignment vertical="center"/>
    </xf>
    <xf numFmtId="0" fontId="7" fillId="0" borderId="0" xfId="53" applyFont="1" applyAlignment="1">
      <alignment vertical="center"/>
    </xf>
    <xf numFmtId="0" fontId="8" fillId="0" borderId="0" xfId="53" applyFont="1" applyBorder="1"/>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8" fillId="0" borderId="0" xfId="53" applyFont="1"/>
    <xf numFmtId="0" fontId="3" fillId="0" borderId="0" xfId="53" applyFont="1" applyAlignment="1">
      <alignment vertical="center"/>
    </xf>
    <xf numFmtId="0" fontId="3" fillId="0" borderId="0" xfId="53" applyFont="1" applyAlignment="1">
      <alignment horizontal="center" vertical="center"/>
    </xf>
    <xf numFmtId="0" fontId="10" fillId="0" borderId="0" xfId="42" applyFont="1" applyAlignment="1">
      <alignment horizontal="right"/>
    </xf>
    <xf numFmtId="0" fontId="8" fillId="0" borderId="0" xfId="53" applyFont="1" applyFill="1"/>
    <xf numFmtId="0" fontId="11" fillId="0" borderId="0" xfId="53" applyFont="1" applyAlignment="1">
      <alignment horizontal="left" vertical="center"/>
    </xf>
    <xf numFmtId="0" fontId="13" fillId="0" borderId="0" xfId="53" applyFont="1"/>
    <xf numFmtId="0" fontId="75" fillId="0" borderId="0" xfId="53" applyBorder="1"/>
    <xf numFmtId="49" fontId="5" fillId="0" borderId="10" xfId="53" applyNumberFormat="1" applyFont="1" applyFill="1" applyBorder="1" applyAlignment="1">
      <alignment vertical="center"/>
    </xf>
    <xf numFmtId="0" fontId="5" fillId="0" borderId="10" xfId="53" applyFont="1" applyBorder="1" applyAlignment="1">
      <alignment vertical="center" wrapText="1"/>
    </xf>
    <xf numFmtId="0" fontId="5" fillId="0" borderId="11" xfId="53" applyFont="1" applyBorder="1" applyAlignment="1">
      <alignment vertical="center" wrapText="1"/>
    </xf>
    <xf numFmtId="0" fontId="4" fillId="0" borderId="0" xfId="53" applyFont="1" applyBorder="1"/>
    <xf numFmtId="0" fontId="2" fillId="0" borderId="0" xfId="53" applyFont="1" applyBorder="1" applyAlignment="1">
      <alignment horizontal="center" vertical="center"/>
    </xf>
    <xf numFmtId="0" fontId="5" fillId="0" borderId="0" xfId="53" applyFont="1" applyBorder="1" applyAlignment="1">
      <alignment vertical="center"/>
    </xf>
    <xf numFmtId="0" fontId="9" fillId="0" borderId="11" xfId="42" applyFont="1" applyFill="1" applyBorder="1" applyAlignment="1">
      <alignment vertical="center" wrapText="1"/>
    </xf>
    <xf numFmtId="0" fontId="4" fillId="24" borderId="0" xfId="53" applyFont="1" applyFill="1"/>
    <xf numFmtId="0" fontId="4" fillId="24" borderId="0" xfId="53" applyFont="1" applyFill="1" applyBorder="1"/>
    <xf numFmtId="0" fontId="2" fillId="24" borderId="0" xfId="53" applyFont="1" applyFill="1" applyBorder="1" applyAlignment="1">
      <alignment horizontal="center" vertical="center"/>
    </xf>
    <xf numFmtId="0" fontId="5" fillId="24" borderId="0" xfId="53" applyFont="1" applyFill="1" applyBorder="1" applyAlignment="1">
      <alignment vertical="center"/>
    </xf>
    <xf numFmtId="0" fontId="5" fillId="0" borderId="10" xfId="53" applyFont="1" applyFill="1" applyBorder="1" applyAlignment="1">
      <alignment vertical="center" wrapText="1"/>
    </xf>
    <xf numFmtId="0" fontId="5" fillId="0" borderId="11" xfId="53" applyFont="1" applyFill="1" applyBorder="1" applyAlignment="1">
      <alignment vertical="center" wrapText="1"/>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0" fontId="10" fillId="0" borderId="0" xfId="42" applyFont="1" applyAlignment="1">
      <alignment horizontal="right" vertical="center"/>
    </xf>
    <xf numFmtId="0" fontId="5" fillId="0" borderId="10" xfId="53" applyFont="1" applyBorder="1" applyAlignment="1">
      <alignment horizontal="left" vertical="center" wrapText="1"/>
    </xf>
    <xf numFmtId="0" fontId="5" fillId="0" borderId="11" xfId="53" applyFont="1" applyBorder="1" applyAlignment="1">
      <alignment horizontal="left" vertical="center" wrapText="1"/>
    </xf>
    <xf numFmtId="0" fontId="9" fillId="0" borderId="0" xfId="42" applyFont="1" applyFill="1" applyAlignment="1">
      <alignment horizontal="right"/>
    </xf>
    <xf numFmtId="0" fontId="9" fillId="0" borderId="10" xfId="42" applyFont="1" applyFill="1" applyBorder="1" applyAlignment="1">
      <alignment horizontal="left" vertical="center" wrapText="1"/>
    </xf>
    <xf numFmtId="0" fontId="9" fillId="0" borderId="0" xfId="42" applyFont="1"/>
    <xf numFmtId="0" fontId="9" fillId="0" borderId="0" xfId="42" applyFont="1" applyFill="1"/>
    <xf numFmtId="0" fontId="9" fillId="0" borderId="0" xfId="42" applyFont="1" applyFill="1" applyBorder="1" applyAlignment="1"/>
    <xf numFmtId="0" fontId="9" fillId="0" borderId="0" xfId="42" applyFont="1" applyFill="1" applyBorder="1" applyAlignment="1">
      <alignment horizontal="left" wrapText="1"/>
    </xf>
    <xf numFmtId="0" fontId="9" fillId="0" borderId="0" xfId="42" applyFont="1" applyFill="1" applyBorder="1"/>
    <xf numFmtId="0" fontId="9" fillId="0" borderId="10"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9" fillId="0" borderId="10" xfId="48" applyFont="1" applyFill="1" applyBorder="1" applyAlignment="1">
      <alignment horizontal="left" vertical="center" wrapText="1"/>
    </xf>
    <xf numFmtId="49" fontId="9" fillId="0" borderId="10" xfId="42" applyNumberFormat="1" applyFont="1" applyFill="1" applyBorder="1" applyAlignment="1">
      <alignment horizontal="center" vertical="center" wrapText="1"/>
    </xf>
    <xf numFmtId="0" fontId="39" fillId="0" borderId="12" xfId="48" applyFont="1" applyFill="1" applyBorder="1" applyAlignment="1">
      <alignment horizontal="left" vertical="center" wrapText="1"/>
    </xf>
    <xf numFmtId="0" fontId="36" fillId="0" borderId="10" xfId="42" applyFont="1" applyFill="1" applyBorder="1" applyAlignment="1">
      <alignment horizontal="left" vertical="center" wrapText="1"/>
    </xf>
    <xf numFmtId="49" fontId="36" fillId="0" borderId="10" xfId="42" applyNumberFormat="1" applyFont="1" applyFill="1" applyBorder="1" applyAlignment="1">
      <alignment horizontal="center" vertical="center" wrapText="1"/>
    </xf>
    <xf numFmtId="0" fontId="9" fillId="0" borderId="13" xfId="42" applyFont="1" applyFill="1" applyBorder="1" applyAlignment="1">
      <alignment horizontal="left" vertical="center" wrapText="1"/>
    </xf>
    <xf numFmtId="0" fontId="36" fillId="0" borderId="10" xfId="42" applyFont="1" applyFill="1" applyBorder="1" applyAlignment="1">
      <alignment horizontal="center" vertical="center" textRotation="90" wrapText="1"/>
    </xf>
    <xf numFmtId="0" fontId="41" fillId="0" borderId="0" xfId="42" applyFont="1" applyFill="1" applyAlignment="1"/>
    <xf numFmtId="0" fontId="37" fillId="0" borderId="10" xfId="48" applyFont="1" applyFill="1" applyBorder="1" applyAlignment="1">
      <alignment horizontal="left" vertical="center" wrapText="1"/>
    </xf>
    <xf numFmtId="0" fontId="34" fillId="0" borderId="0" xfId="42" applyFont="1" applyFill="1"/>
    <xf numFmtId="0" fontId="9" fillId="0" borderId="0" xfId="42" applyFill="1"/>
    <xf numFmtId="2" fontId="42" fillId="0" borderId="0" xfId="42" applyNumberFormat="1" applyFont="1" applyFill="1" applyAlignment="1">
      <alignment horizontal="right" vertical="top" wrapText="1"/>
    </xf>
    <xf numFmtId="0" fontId="34" fillId="0" borderId="0" xfId="42" applyFont="1" applyFill="1" applyAlignment="1">
      <alignment horizontal="right"/>
    </xf>
    <xf numFmtId="0" fontId="35" fillId="0" borderId="15" xfId="42" applyFont="1" applyFill="1" applyBorder="1" applyAlignment="1">
      <alignment horizontal="justify"/>
    </xf>
    <xf numFmtId="0" fontId="35" fillId="0" borderId="15" xfId="42" applyFont="1" applyFill="1" applyBorder="1" applyAlignment="1">
      <alignment vertical="top" wrapText="1"/>
    </xf>
    <xf numFmtId="0" fontId="35" fillId="0" borderId="17" xfId="42" applyFont="1" applyFill="1" applyBorder="1" applyAlignment="1">
      <alignment vertical="top" wrapText="1"/>
    </xf>
    <xf numFmtId="0" fontId="35" fillId="0" borderId="16" xfId="42" applyFont="1" applyFill="1" applyBorder="1" applyAlignment="1">
      <alignment vertical="top" wrapText="1"/>
    </xf>
    <xf numFmtId="0" fontId="34" fillId="0" borderId="15" xfId="42" applyFont="1" applyFill="1" applyBorder="1" applyAlignment="1">
      <alignment horizontal="justify" vertical="top" wrapText="1"/>
    </xf>
    <xf numFmtId="0" fontId="34" fillId="0" borderId="16" xfId="42" applyFont="1" applyFill="1" applyBorder="1" applyAlignment="1">
      <alignment vertical="top" wrapText="1"/>
    </xf>
    <xf numFmtId="0" fontId="34" fillId="0" borderId="15" xfId="42" applyFont="1" applyFill="1" applyBorder="1" applyAlignment="1">
      <alignment vertical="top" wrapText="1"/>
    </xf>
    <xf numFmtId="0" fontId="34" fillId="0" borderId="18" xfId="42" applyFont="1" applyFill="1" applyBorder="1" applyAlignment="1">
      <alignment vertical="top" wrapText="1"/>
    </xf>
    <xf numFmtId="0" fontId="34" fillId="0" borderId="17" xfId="42" applyFont="1" applyFill="1" applyBorder="1" applyAlignment="1">
      <alignment vertical="top" wrapText="1"/>
    </xf>
    <xf numFmtId="0" fontId="35" fillId="0" borderId="17" xfId="42" applyFont="1" applyFill="1" applyBorder="1" applyAlignment="1">
      <alignment horizontal="justify" vertical="top" wrapText="1"/>
    </xf>
    <xf numFmtId="0" fontId="35" fillId="0" borderId="15" xfId="42" applyFont="1" applyFill="1" applyBorder="1" applyAlignment="1">
      <alignment horizontal="justify" vertical="top" wrapText="1"/>
    </xf>
    <xf numFmtId="0" fontId="34" fillId="0" borderId="19" xfId="42" applyFont="1" applyFill="1" applyBorder="1" applyAlignment="1">
      <alignment vertical="top" wrapText="1"/>
    </xf>
    <xf numFmtId="0" fontId="35" fillId="0" borderId="16" xfId="42" applyFont="1" applyFill="1" applyBorder="1" applyAlignment="1">
      <alignment horizontal="left" vertical="center" wrapText="1"/>
    </xf>
    <xf numFmtId="0" fontId="35" fillId="0" borderId="16" xfId="42" applyFont="1" applyFill="1" applyBorder="1" applyAlignment="1">
      <alignment horizontal="center" vertical="center" wrapText="1"/>
    </xf>
    <xf numFmtId="0" fontId="34" fillId="0" borderId="17" xfId="42" applyFont="1" applyFill="1" applyBorder="1"/>
    <xf numFmtId="1" fontId="35" fillId="0" borderId="0" xfId="42" applyNumberFormat="1" applyFont="1" applyFill="1" applyAlignment="1">
      <alignment horizontal="left" vertical="top"/>
    </xf>
    <xf numFmtId="49" fontId="34" fillId="0" borderId="0" xfId="42" applyNumberFormat="1" applyFont="1" applyFill="1" applyAlignment="1">
      <alignment horizontal="left" vertical="top" wrapText="1"/>
    </xf>
    <xf numFmtId="49" fontId="34" fillId="0" borderId="0" xfId="42" applyNumberFormat="1" applyFont="1" applyFill="1" applyBorder="1" applyAlignment="1">
      <alignment horizontal="left" vertical="top"/>
    </xf>
    <xf numFmtId="0" fontId="34"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vertical="center"/>
    </xf>
    <xf numFmtId="0" fontId="73" fillId="25" borderId="0" xfId="54" applyFill="1"/>
    <xf numFmtId="0" fontId="45" fillId="0" borderId="10" xfId="53" applyFont="1" applyBorder="1"/>
    <xf numFmtId="0" fontId="10" fillId="0" borderId="10" xfId="42" applyFont="1" applyFill="1" applyBorder="1" applyAlignment="1">
      <alignment vertical="center" wrapText="1"/>
    </xf>
    <xf numFmtId="0" fontId="2" fillId="0" borderId="10" xfId="53" applyFont="1" applyBorder="1" applyAlignment="1">
      <alignment vertical="center" wrapText="1"/>
    </xf>
    <xf numFmtId="168" fontId="9" fillId="26" borderId="10" xfId="56" applyNumberFormat="1" applyFont="1" applyFill="1" applyBorder="1" applyAlignment="1">
      <alignment horizontal="left" vertical="center" wrapText="1"/>
    </xf>
    <xf numFmtId="0" fontId="11" fillId="0" borderId="0" xfId="53" applyFont="1" applyFill="1" applyAlignment="1">
      <alignment horizontal="left" vertical="center"/>
    </xf>
    <xf numFmtId="0" fontId="2" fillId="0" borderId="0" xfId="53" applyFont="1" applyFill="1" applyAlignment="1">
      <alignment horizontal="center" vertical="center"/>
    </xf>
    <xf numFmtId="0" fontId="13" fillId="0" borderId="0" xfId="53" applyFont="1" applyFill="1"/>
    <xf numFmtId="0" fontId="10" fillId="0" borderId="0" xfId="42" applyFont="1" applyFill="1" applyAlignment="1">
      <alignment horizontal="right" vertical="center"/>
    </xf>
    <xf numFmtId="0" fontId="10" fillId="0" borderId="0" xfId="42" applyFont="1" applyFill="1" applyAlignment="1">
      <alignment horizontal="right"/>
    </xf>
    <xf numFmtId="0" fontId="41" fillId="0" borderId="0" xfId="0" applyFont="1" applyFill="1" applyAlignment="1">
      <alignment vertical="center"/>
    </xf>
    <xf numFmtId="0" fontId="46" fillId="0" borderId="0" xfId="53" applyFont="1" applyAlignment="1">
      <alignment vertical="center"/>
    </xf>
    <xf numFmtId="0" fontId="47" fillId="0" borderId="0" xfId="53" applyFont="1" applyAlignment="1"/>
    <xf numFmtId="0" fontId="73" fillId="0" borderId="0" xfId="54" applyFill="1"/>
    <xf numFmtId="0" fontId="73" fillId="0" borderId="0" xfId="54" applyFill="1" applyAlignment="1">
      <alignment vertical="center" wrapText="1"/>
    </xf>
    <xf numFmtId="0" fontId="33" fillId="26" borderId="20" xfId="42" applyFont="1" applyFill="1" applyBorder="1" applyAlignment="1">
      <alignment horizontal="center" vertical="center" wrapText="1"/>
    </xf>
    <xf numFmtId="0" fontId="33" fillId="26" borderId="14" xfId="42" applyFont="1" applyFill="1" applyBorder="1" applyAlignment="1">
      <alignment horizontal="center" vertical="center" wrapText="1"/>
    </xf>
    <xf numFmtId="0" fontId="33" fillId="26" borderId="21" xfId="42" applyFont="1" applyFill="1" applyBorder="1" applyAlignment="1">
      <alignment horizontal="center" vertical="center" wrapText="1"/>
    </xf>
    <xf numFmtId="2" fontId="9" fillId="0" borderId="10" xfId="42" applyNumberFormat="1" applyFont="1" applyFill="1" applyBorder="1" applyAlignment="1">
      <alignment horizontal="center" vertical="center" wrapText="1"/>
    </xf>
    <xf numFmtId="4" fontId="9" fillId="26" borderId="10" xfId="42" applyNumberFormat="1" applyFont="1" applyFill="1" applyBorder="1" applyAlignment="1">
      <alignment horizontal="center" vertical="center" wrapText="1"/>
    </xf>
    <xf numFmtId="0" fontId="56" fillId="26" borderId="10" xfId="53" applyFont="1" applyFill="1" applyBorder="1" applyAlignment="1">
      <alignment horizontal="left" vertical="center" wrapText="1"/>
    </xf>
    <xf numFmtId="49" fontId="56" fillId="26" borderId="10" xfId="53" applyNumberFormat="1" applyFont="1" applyFill="1" applyBorder="1" applyAlignment="1">
      <alignment vertical="center"/>
    </xf>
    <xf numFmtId="0" fontId="57" fillId="26" borderId="10" xfId="53" applyFont="1" applyFill="1" applyBorder="1" applyAlignment="1">
      <alignment vertical="center" wrapText="1"/>
    </xf>
    <xf numFmtId="0" fontId="75" fillId="26" borderId="0" xfId="53" applyFill="1" applyBorder="1"/>
    <xf numFmtId="0" fontId="75" fillId="26" borderId="0" xfId="53" applyFill="1"/>
    <xf numFmtId="0" fontId="58" fillId="0" borderId="0" xfId="53" applyFont="1"/>
    <xf numFmtId="0" fontId="58" fillId="26" borderId="0" xfId="53" applyFont="1" applyFill="1"/>
    <xf numFmtId="0" fontId="59" fillId="26" borderId="0" xfId="53" applyFont="1" applyFill="1" applyAlignment="1">
      <alignment horizontal="left" vertical="center"/>
    </xf>
    <xf numFmtId="0" fontId="60" fillId="26" borderId="0" xfId="53" applyFont="1" applyFill="1" applyAlignment="1">
      <alignment vertical="center"/>
    </xf>
    <xf numFmtId="0" fontId="62" fillId="26" borderId="0" xfId="53" applyFont="1" applyFill="1" applyBorder="1" applyAlignment="1">
      <alignment horizontal="center" vertical="center"/>
    </xf>
    <xf numFmtId="0" fontId="58" fillId="26" borderId="0" xfId="53" applyFont="1" applyFill="1" applyBorder="1"/>
    <xf numFmtId="0" fontId="63" fillId="26" borderId="0" xfId="53" applyFont="1" applyFill="1" applyAlignment="1">
      <alignment vertical="center"/>
    </xf>
    <xf numFmtId="0" fontId="64" fillId="26" borderId="0" xfId="53" applyFont="1" applyFill="1"/>
    <xf numFmtId="0" fontId="56" fillId="26" borderId="0" xfId="53" applyFont="1" applyFill="1" applyAlignment="1">
      <alignment vertical="center"/>
    </xf>
    <xf numFmtId="0" fontId="62" fillId="26" borderId="0" xfId="53" applyFont="1" applyFill="1" applyAlignment="1">
      <alignment horizontal="center" vertical="center"/>
    </xf>
    <xf numFmtId="0" fontId="65" fillId="0" borderId="0" xfId="53" applyFont="1" applyAlignment="1">
      <alignment vertical="center"/>
    </xf>
    <xf numFmtId="0" fontId="64" fillId="0" borderId="0" xfId="53" applyFont="1"/>
    <xf numFmtId="0" fontId="62" fillId="0" borderId="0" xfId="53" applyFont="1" applyAlignment="1">
      <alignment horizontal="center" vertical="center"/>
    </xf>
    <xf numFmtId="0" fontId="66" fillId="0" borderId="10" xfId="53" applyFont="1" applyBorder="1" applyAlignment="1">
      <alignment horizontal="center" vertical="center" wrapText="1"/>
    </xf>
    <xf numFmtId="0" fontId="67" fillId="0" borderId="10" xfId="42" applyFont="1" applyFill="1" applyBorder="1" applyAlignment="1">
      <alignment horizontal="center" vertical="center" wrapText="1"/>
    </xf>
    <xf numFmtId="0" fontId="62" fillId="0" borderId="0" xfId="53" applyFont="1" applyBorder="1" applyAlignment="1">
      <alignment horizontal="center" vertical="center"/>
    </xf>
    <xf numFmtId="0" fontId="64" fillId="0" borderId="0" xfId="53" applyFont="1" applyBorder="1"/>
    <xf numFmtId="0" fontId="66" fillId="0" borderId="11" xfId="53" applyFont="1" applyBorder="1" applyAlignment="1">
      <alignment horizontal="center" vertical="center" wrapText="1"/>
    </xf>
    <xf numFmtId="0" fontId="9" fillId="0" borderId="0" xfId="41" applyFont="1" applyFill="1" applyAlignment="1">
      <alignment horizontal="left"/>
    </xf>
    <xf numFmtId="0" fontId="58" fillId="0" borderId="0" xfId="53" applyFont="1" applyFill="1"/>
    <xf numFmtId="0" fontId="59" fillId="0" borderId="0" xfId="53" applyFont="1" applyFill="1" applyAlignment="1">
      <alignment horizontal="left" vertical="center"/>
    </xf>
    <xf numFmtId="0" fontId="58" fillId="0" borderId="0" xfId="53" applyFont="1" applyFill="1" applyBorder="1"/>
    <xf numFmtId="0" fontId="64" fillId="0" borderId="0" xfId="53" applyFont="1" applyFill="1"/>
    <xf numFmtId="0" fontId="9" fillId="0" borderId="0" xfId="41" applyFont="1" applyFill="1" applyAlignment="1">
      <alignment horizontal="left" vertical="center"/>
    </xf>
    <xf numFmtId="0" fontId="36" fillId="0" borderId="12" xfId="41"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26" borderId="10" xfId="41" applyFont="1" applyFill="1" applyBorder="1" applyAlignment="1">
      <alignment horizontal="center" vertical="center"/>
    </xf>
    <xf numFmtId="0" fontId="9" fillId="26" borderId="10" xfId="41" applyFont="1" applyFill="1" applyBorder="1" applyAlignment="1">
      <alignment horizontal="center" vertical="center" wrapText="1"/>
    </xf>
    <xf numFmtId="0" fontId="9" fillId="26" borderId="0" xfId="41" applyFont="1" applyFill="1" applyAlignment="1">
      <alignment horizontal="left" vertical="center"/>
    </xf>
    <xf numFmtId="0" fontId="48" fillId="0" borderId="0" xfId="41" applyFont="1" applyFill="1" applyAlignment="1">
      <alignment horizontal="left"/>
    </xf>
    <xf numFmtId="0" fontId="49" fillId="0" borderId="0" xfId="41" applyFont="1" applyFill="1" applyAlignment="1">
      <alignment horizontal="left"/>
    </xf>
    <xf numFmtId="0" fontId="9" fillId="0" borderId="0" xfId="41" applyFont="1" applyAlignment="1">
      <alignment horizontal="left"/>
    </xf>
    <xf numFmtId="0" fontId="59" fillId="0" borderId="0" xfId="53" applyFont="1" applyAlignment="1">
      <alignment horizontal="left"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9" fillId="0" borderId="0" xfId="41" applyFont="1" applyAlignment="1">
      <alignment horizontal="left" vertical="center"/>
    </xf>
    <xf numFmtId="0" fontId="36" fillId="0" borderId="12" xfId="41" applyFont="1" applyBorder="1" applyAlignment="1">
      <alignment horizontal="center" vertical="center" wrapText="1"/>
    </xf>
    <xf numFmtId="0" fontId="36" fillId="0" borderId="10" xfId="41" applyFont="1" applyBorder="1" applyAlignment="1">
      <alignment horizontal="center" vertical="center" wrapText="1"/>
    </xf>
    <xf numFmtId="0" fontId="36" fillId="0" borderId="10" xfId="41" applyFont="1" applyBorder="1" applyAlignment="1">
      <alignment horizontal="center" vertical="top"/>
    </xf>
    <xf numFmtId="0" fontId="36" fillId="0" borderId="10" xfId="41" applyFont="1" applyBorder="1" applyAlignment="1">
      <alignment horizontal="left" vertical="center"/>
    </xf>
    <xf numFmtId="0" fontId="49" fillId="0" borderId="0" xfId="41" applyFont="1" applyAlignment="1">
      <alignment horizontal="left"/>
    </xf>
    <xf numFmtId="0" fontId="48" fillId="0" borderId="0" xfId="41" applyFont="1" applyAlignment="1">
      <alignment horizontal="left"/>
    </xf>
    <xf numFmtId="0" fontId="48" fillId="0" borderId="0" xfId="41" applyFont="1" applyBorder="1" applyAlignment="1">
      <alignment horizontal="left"/>
    </xf>
    <xf numFmtId="0" fontId="10" fillId="26" borderId="0" xfId="42" applyFont="1" applyFill="1" applyAlignment="1">
      <alignment horizontal="right"/>
    </xf>
    <xf numFmtId="0" fontId="36" fillId="26" borderId="0" xfId="0" applyFont="1" applyFill="1" applyAlignment="1">
      <alignment vertical="center"/>
    </xf>
    <xf numFmtId="0" fontId="65" fillId="26" borderId="0" xfId="53" applyFont="1" applyFill="1" applyAlignment="1">
      <alignment vertical="center"/>
    </xf>
    <xf numFmtId="0" fontId="6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0" xfId="53" applyFont="1" applyBorder="1" applyAlignment="1">
      <alignment horizontal="center" vertical="center" wrapText="1"/>
    </xf>
    <xf numFmtId="0" fontId="56" fillId="0" borderId="11" xfId="53" applyFont="1" applyBorder="1" applyAlignment="1">
      <alignment horizontal="center" vertical="center" wrapText="1"/>
    </xf>
    <xf numFmtId="49" fontId="56" fillId="0" borderId="10" xfId="53" applyNumberFormat="1" applyFont="1" applyBorder="1" applyAlignment="1">
      <alignment vertical="center"/>
    </xf>
    <xf numFmtId="0" fontId="0" fillId="26" borderId="0" xfId="0" applyFill="1"/>
    <xf numFmtId="0" fontId="62" fillId="26" borderId="0" xfId="53" applyFont="1" applyFill="1" applyBorder="1" applyAlignment="1">
      <alignment vertical="center"/>
    </xf>
    <xf numFmtId="0" fontId="68" fillId="26" borderId="0" xfId="52" applyFont="1" applyFill="1" applyAlignment="1"/>
    <xf numFmtId="0" fontId="68" fillId="0" borderId="0" xfId="52" applyFont="1" applyFill="1" applyAlignment="1"/>
    <xf numFmtId="0" fontId="67" fillId="0" borderId="0" xfId="52" applyFont="1" applyFill="1" applyAlignment="1"/>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22"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Border="1" applyAlignment="1">
      <alignment horizontal="center" vertical="center"/>
    </xf>
    <xf numFmtId="0" fontId="0" fillId="0" borderId="10" xfId="0" applyBorder="1"/>
    <xf numFmtId="0" fontId="0" fillId="0" borderId="10" xfId="0" applyFill="1" applyBorder="1" applyAlignment="1">
      <alignment horizontal="center" vertical="center"/>
    </xf>
    <xf numFmtId="0" fontId="0" fillId="0" borderId="22" xfId="0" applyFill="1" applyBorder="1" applyAlignment="1">
      <alignment horizontal="center" vertical="center"/>
    </xf>
    <xf numFmtId="0" fontId="0" fillId="0" borderId="10" xfId="0" applyBorder="1" applyAlignment="1">
      <alignment horizontal="center" wrapText="1"/>
    </xf>
    <xf numFmtId="0" fontId="55" fillId="0" borderId="0" xfId="0" applyFont="1"/>
    <xf numFmtId="0" fontId="36" fillId="0" borderId="0" xfId="42" applyFont="1" applyFill="1" applyAlignment="1">
      <alignment horizontal="center" vertical="top" wrapText="1"/>
    </xf>
    <xf numFmtId="0" fontId="36" fillId="0" borderId="10" xfId="42" applyNumberFormat="1" applyFont="1" applyFill="1" applyBorder="1" applyAlignment="1">
      <alignment horizontal="center" vertical="top" wrapText="1"/>
    </xf>
    <xf numFmtId="0" fontId="36" fillId="0" borderId="10" xfId="42" applyFont="1" applyFill="1" applyBorder="1" applyAlignment="1">
      <alignment vertical="top" wrapText="1"/>
    </xf>
    <xf numFmtId="0"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xf>
    <xf numFmtId="0" fontId="0" fillId="0" borderId="10" xfId="0" applyFill="1" applyBorder="1" applyAlignment="1">
      <alignment horizontal="center" vertical="center" wrapText="1"/>
    </xf>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9" fontId="9" fillId="0" borderId="10" xfId="61" applyFont="1" applyFill="1" applyBorder="1" applyAlignment="1">
      <alignment horizontal="center" vertical="center" wrapText="1"/>
    </xf>
    <xf numFmtId="167" fontId="36" fillId="0" borderId="10" xfId="42" applyNumberFormat="1" applyFont="1" applyFill="1" applyBorder="1" applyAlignment="1">
      <alignment horizontal="center" vertical="center" wrapText="1"/>
    </xf>
    <xf numFmtId="0" fontId="9" fillId="0" borderId="0" xfId="42" applyFont="1" applyFill="1" applyAlignment="1">
      <alignment vertical="top" wrapText="1"/>
    </xf>
    <xf numFmtId="9" fontId="9" fillId="0" borderId="10" xfId="42" applyNumberFormat="1" applyFont="1" applyFill="1" applyBorder="1" applyAlignment="1">
      <alignment horizontal="center" vertical="center"/>
    </xf>
    <xf numFmtId="0" fontId="68" fillId="0" borderId="0" xfId="52" applyFont="1"/>
    <xf numFmtId="0" fontId="34" fillId="26" borderId="0" xfId="52" applyFont="1" applyFill="1"/>
    <xf numFmtId="0" fontId="68" fillId="26" borderId="0" xfId="52" applyFont="1" applyFill="1"/>
    <xf numFmtId="0" fontId="68" fillId="0" borderId="0" xfId="52" applyFont="1" applyFill="1"/>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71" fillId="0" borderId="0" xfId="52" applyFont="1"/>
    <xf numFmtId="0" fontId="5" fillId="0" borderId="10" xfId="48"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4" fillId="0" borderId="10" xfId="42" applyFont="1" applyFill="1" applyBorder="1" applyAlignment="1">
      <alignment horizontal="justify"/>
    </xf>
    <xf numFmtId="2" fontId="34" fillId="0" borderId="10" xfId="42" applyNumberFormat="1" applyFont="1" applyFill="1" applyBorder="1" applyAlignment="1">
      <alignment horizontal="justify"/>
    </xf>
    <xf numFmtId="0" fontId="76" fillId="0" borderId="10" xfId="53" applyFont="1" applyFill="1" applyBorder="1" applyAlignment="1">
      <alignment horizontal="left" vertical="center" wrapText="1"/>
    </xf>
    <xf numFmtId="2" fontId="76" fillId="0" borderId="10" xfId="53" applyNumberFormat="1" applyFont="1" applyFill="1" applyBorder="1" applyAlignment="1">
      <alignment horizontal="left" vertical="center"/>
    </xf>
    <xf numFmtId="0" fontId="71" fillId="0" borderId="14" xfId="52" applyFont="1" applyBorder="1" applyAlignment="1">
      <alignment horizontal="center" vertical="center"/>
    </xf>
    <xf numFmtId="0" fontId="35" fillId="0" borderId="15" xfId="42" applyFont="1" applyFill="1" applyBorder="1" applyAlignment="1">
      <alignment horizontal="justify" vertical="center" wrapText="1"/>
    </xf>
    <xf numFmtId="0" fontId="9" fillId="0" borderId="0" xfId="42" applyFill="1" applyAlignment="1">
      <alignment vertical="center" wrapText="1"/>
    </xf>
    <xf numFmtId="0" fontId="34" fillId="0" borderId="15" xfId="42" applyFont="1" applyFill="1" applyBorder="1" applyAlignment="1">
      <alignment horizontal="justify" vertical="center" wrapText="1"/>
    </xf>
    <xf numFmtId="2" fontId="34" fillId="0" borderId="15" xfId="42" applyNumberFormat="1" applyFont="1" applyFill="1" applyBorder="1" applyAlignment="1">
      <alignment horizontal="justify" vertical="center" wrapText="1"/>
    </xf>
    <xf numFmtId="0" fontId="35" fillId="0" borderId="16" xfId="42" applyFont="1" applyFill="1" applyBorder="1" applyAlignment="1">
      <alignment vertical="center" wrapText="1"/>
    </xf>
    <xf numFmtId="0" fontId="34" fillId="0" borderId="16" xfId="42" applyFont="1" applyFill="1" applyBorder="1" applyAlignment="1">
      <alignment vertical="center" wrapText="1"/>
    </xf>
    <xf numFmtId="0" fontId="35" fillId="0" borderId="15" xfId="42" applyFont="1" applyFill="1" applyBorder="1" applyAlignment="1">
      <alignment vertical="center" wrapText="1"/>
    </xf>
    <xf numFmtId="9" fontId="34" fillId="0" borderId="10" xfId="42" applyNumberFormat="1" applyFont="1" applyFill="1" applyBorder="1" applyAlignment="1">
      <alignment horizontal="justify" vertical="center" wrapText="1"/>
    </xf>
    <xf numFmtId="2" fontId="34" fillId="0" borderId="10" xfId="42" applyNumberFormat="1" applyFont="1" applyFill="1" applyBorder="1" applyAlignment="1">
      <alignment horizontal="justify" vertical="center" wrapText="1"/>
    </xf>
    <xf numFmtId="0" fontId="35" fillId="0" borderId="17" xfId="42" applyFont="1" applyFill="1" applyBorder="1" applyAlignment="1">
      <alignment vertical="center" wrapText="1"/>
    </xf>
    <xf numFmtId="0" fontId="34" fillId="0" borderId="18" xfId="42" applyFont="1" applyFill="1" applyBorder="1" applyAlignment="1">
      <alignment vertical="center" wrapText="1"/>
    </xf>
    <xf numFmtId="0" fontId="35" fillId="0" borderId="16" xfId="42" applyFont="1" applyFill="1" applyBorder="1" applyAlignment="1">
      <alignment horizontal="justify" vertical="center" wrapText="1"/>
    </xf>
    <xf numFmtId="0" fontId="36" fillId="0" borderId="10" xfId="42" applyFont="1" applyFill="1" applyBorder="1" applyAlignment="1">
      <alignment horizontal="center" vertical="center" wrapText="1"/>
    </xf>
    <xf numFmtId="0" fontId="35" fillId="0" borderId="10" xfId="42" applyFont="1" applyFill="1" applyBorder="1" applyAlignment="1">
      <alignment horizontal="justify" vertical="center" wrapText="1"/>
    </xf>
    <xf numFmtId="0" fontId="34" fillId="0" borderId="10" xfId="42" applyFont="1" applyFill="1" applyBorder="1" applyAlignment="1">
      <alignment horizontal="justify" vertical="center" wrapText="1"/>
    </xf>
    <xf numFmtId="0" fontId="71" fillId="0" borderId="0" xfId="52" applyFont="1" applyAlignment="1">
      <alignment vertical="center"/>
    </xf>
    <xf numFmtId="9" fontId="34" fillId="0" borderId="15" xfId="42" applyNumberFormat="1" applyFont="1" applyFill="1" applyBorder="1" applyAlignment="1">
      <alignment horizontal="justify" vertical="center" wrapText="1"/>
    </xf>
    <xf numFmtId="0" fontId="36" fillId="0" borderId="14" xfId="42" applyFont="1" applyFill="1" applyBorder="1" applyAlignment="1">
      <alignment horizontal="center" vertical="center" wrapText="1"/>
    </xf>
    <xf numFmtId="1" fontId="68" fillId="0" borderId="10" xfId="52" applyNumberFormat="1" applyFont="1" applyBorder="1" applyAlignment="1">
      <alignment horizontal="left" vertical="center" wrapText="1"/>
    </xf>
    <xf numFmtId="1" fontId="68" fillId="27" borderId="10" xfId="52" applyNumberFormat="1" applyFont="1" applyFill="1" applyBorder="1" applyAlignment="1">
      <alignment horizontal="center" vertical="center" wrapText="1"/>
    </xf>
    <xf numFmtId="49" fontId="68" fillId="0" borderId="10" xfId="52" applyNumberFormat="1" applyFont="1" applyBorder="1" applyAlignment="1">
      <alignment horizontal="center" vertical="center" wrapText="1"/>
    </xf>
    <xf numFmtId="0" fontId="68" fillId="0" borderId="10" xfId="52" applyFont="1" applyFill="1" applyBorder="1" applyAlignment="1">
      <alignment vertical="center" wrapText="1"/>
    </xf>
    <xf numFmtId="2" fontId="68" fillId="0" borderId="10" xfId="52" applyNumberFormat="1" applyFont="1" applyBorder="1" applyAlignment="1">
      <alignment horizontal="center" vertical="center" wrapText="1"/>
    </xf>
    <xf numFmtId="2" fontId="68" fillId="0" borderId="10" xfId="52" applyNumberFormat="1" applyFont="1" applyFill="1" applyBorder="1" applyAlignment="1">
      <alignment horizontal="center" vertical="center" wrapText="1"/>
    </xf>
    <xf numFmtId="1" fontId="68" fillId="0" borderId="10" xfId="52" applyNumberFormat="1" applyFont="1" applyBorder="1" applyAlignment="1">
      <alignment horizontal="center" vertical="center" wrapText="1"/>
    </xf>
    <xf numFmtId="1" fontId="68" fillId="0" borderId="10" xfId="52" applyNumberFormat="1" applyFont="1" applyBorder="1" applyAlignment="1">
      <alignment vertical="center" wrapText="1"/>
    </xf>
    <xf numFmtId="2" fontId="34" fillId="0" borderId="10" xfId="42" applyNumberFormat="1" applyFont="1" applyFill="1" applyBorder="1" applyAlignment="1">
      <alignment horizontal="justify" vertical="center" wrapText="1"/>
    </xf>
    <xf numFmtId="0" fontId="35" fillId="0" borderId="10" xfId="42" applyFont="1" applyFill="1" applyBorder="1" applyAlignment="1">
      <alignment horizontal="justify" vertical="center" wrapText="1"/>
    </xf>
    <xf numFmtId="2" fontId="35" fillId="0" borderId="10" xfId="42" applyNumberFormat="1" applyFont="1" applyFill="1" applyBorder="1" applyAlignment="1">
      <alignment horizontal="justify" vertical="center" wrapText="1"/>
    </xf>
    <xf numFmtId="9" fontId="34" fillId="0" borderId="10" xfId="61" applyFont="1" applyFill="1" applyBorder="1" applyAlignment="1">
      <alignment horizontal="justify" vertical="center" wrapText="1"/>
    </xf>
    <xf numFmtId="14" fontId="76" fillId="0" borderId="10" xfId="0"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49" fontId="5" fillId="0" borderId="11" xfId="53" applyNumberFormat="1" applyFont="1" applyFill="1" applyBorder="1" applyAlignment="1">
      <alignment horizontal="center" vertical="center"/>
    </xf>
    <xf numFmtId="49" fontId="5" fillId="0" borderId="23" xfId="53" applyNumberFormat="1" applyFont="1" applyFill="1" applyBorder="1" applyAlignment="1">
      <alignment horizontal="center" vertical="center"/>
    </xf>
    <xf numFmtId="49" fontId="5" fillId="0" borderId="22" xfId="53" applyNumberFormat="1" applyFont="1" applyFill="1" applyBorder="1" applyAlignment="1">
      <alignment horizontal="center" vertical="center"/>
    </xf>
    <xf numFmtId="0" fontId="36" fillId="0" borderId="0" xfId="0" applyFont="1" applyFill="1" applyAlignment="1">
      <alignment horizontal="center" vertical="center"/>
    </xf>
    <xf numFmtId="0" fontId="5" fillId="0" borderId="0" xfId="53" applyFont="1" applyAlignment="1">
      <alignment horizontal="center" vertical="center"/>
    </xf>
    <xf numFmtId="0" fontId="6" fillId="0" borderId="0" xfId="53" applyFont="1" applyAlignment="1">
      <alignment horizontal="center" vertical="center" wrapText="1"/>
    </xf>
    <xf numFmtId="0" fontId="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33" fillId="0" borderId="0" xfId="53" applyFont="1" applyAlignment="1">
      <alignment horizontal="center" vertical="center"/>
    </xf>
    <xf numFmtId="0" fontId="44" fillId="0" borderId="0" xfId="53" applyFont="1" applyFill="1" applyAlignment="1">
      <alignment horizontal="center" vertical="center" wrapText="1"/>
    </xf>
    <xf numFmtId="0" fontId="44" fillId="0" borderId="0" xfId="53" applyFont="1" applyFill="1" applyAlignment="1">
      <alignment horizontal="center"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61" fillId="26" borderId="0" xfId="53" applyFont="1" applyFill="1" applyAlignment="1">
      <alignment horizontal="center" vertical="center"/>
    </xf>
    <xf numFmtId="0" fontId="56" fillId="26" borderId="0" xfId="53" applyFont="1" applyFill="1" applyAlignment="1">
      <alignment horizontal="center" vertical="center"/>
    </xf>
    <xf numFmtId="0" fontId="66" fillId="0" borderId="10" xfId="53" applyFont="1" applyBorder="1" applyAlignment="1">
      <alignment horizontal="center" vertical="center" wrapText="1"/>
    </xf>
    <xf numFmtId="0" fontId="62" fillId="26" borderId="0" xfId="53" applyFont="1" applyFill="1" applyBorder="1" applyAlignment="1">
      <alignment horizontal="center" vertical="center"/>
    </xf>
    <xf numFmtId="0" fontId="62" fillId="26" borderId="0" xfId="53" applyFont="1" applyFill="1" applyAlignment="1">
      <alignment horizontal="center" vertical="center"/>
    </xf>
    <xf numFmtId="0" fontId="60" fillId="0" borderId="10" xfId="53" applyFont="1" applyBorder="1" applyAlignment="1">
      <alignment horizontal="center" vertical="center" wrapText="1"/>
    </xf>
    <xf numFmtId="0" fontId="65" fillId="0" borderId="0" xfId="53" applyFont="1" applyAlignment="1">
      <alignment horizontal="center" vertical="center" wrapText="1"/>
    </xf>
    <xf numFmtId="0" fontId="56" fillId="0" borderId="24" xfId="53" applyFont="1" applyBorder="1" applyAlignment="1">
      <alignment vertical="center"/>
    </xf>
    <xf numFmtId="0" fontId="66" fillId="0" borderId="14" xfId="53" applyFont="1" applyBorder="1" applyAlignment="1">
      <alignment horizontal="center" vertical="center" wrapText="1"/>
    </xf>
    <xf numFmtId="0" fontId="66" fillId="0" borderId="12" xfId="53" applyFont="1" applyBorder="1" applyAlignment="1">
      <alignment horizontal="center" vertical="center" wrapText="1"/>
    </xf>
    <xf numFmtId="0" fontId="60" fillId="0" borderId="0" xfId="53" applyFont="1" applyFill="1" applyAlignment="1">
      <alignment horizontal="center" vertical="center"/>
    </xf>
    <xf numFmtId="0" fontId="61" fillId="0" borderId="0" xfId="53" applyFont="1" applyFill="1" applyAlignment="1">
      <alignment horizontal="center" vertical="center"/>
    </xf>
    <xf numFmtId="0" fontId="56" fillId="0" borderId="0" xfId="53" applyFont="1" applyFill="1" applyAlignment="1">
      <alignment horizontal="center" vertical="center"/>
    </xf>
    <xf numFmtId="0" fontId="36" fillId="0" borderId="25" xfId="41" applyFont="1" applyFill="1" applyBorder="1" applyAlignment="1">
      <alignment horizontal="center" vertical="center" wrapText="1"/>
    </xf>
    <xf numFmtId="0" fontId="36" fillId="0" borderId="26" xfId="41" applyFont="1" applyFill="1" applyBorder="1" applyAlignment="1">
      <alignment horizontal="center" vertical="center" wrapText="1"/>
    </xf>
    <xf numFmtId="0" fontId="36" fillId="0" borderId="27" xfId="41" applyFont="1" applyFill="1" applyBorder="1" applyAlignment="1">
      <alignment horizontal="center" vertical="center" wrapText="1"/>
    </xf>
    <xf numFmtId="0" fontId="36" fillId="0" borderId="28" xfId="41" applyFont="1" applyFill="1" applyBorder="1" applyAlignment="1">
      <alignment horizontal="center" vertical="center" wrapText="1"/>
    </xf>
    <xf numFmtId="0" fontId="36" fillId="0" borderId="14" xfId="4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36" fillId="0" borderId="13" xfId="41" applyFont="1" applyFill="1" applyBorder="1" applyAlignment="1">
      <alignment horizontal="center" vertical="center" wrapText="1"/>
    </xf>
    <xf numFmtId="0" fontId="62" fillId="0" borderId="0" xfId="53" applyFont="1" applyFill="1" applyAlignment="1">
      <alignment horizontal="center" vertical="center"/>
    </xf>
    <xf numFmtId="0" fontId="62" fillId="0" borderId="0" xfId="53" applyFont="1" applyFill="1" applyBorder="1" applyAlignment="1">
      <alignment horizontal="center" vertical="center"/>
    </xf>
    <xf numFmtId="0" fontId="36" fillId="0" borderId="11" xfId="41" applyFont="1" applyFill="1" applyBorder="1" applyAlignment="1">
      <alignment horizontal="center" vertical="center" wrapText="1"/>
    </xf>
    <xf numFmtId="0" fontId="36" fillId="0" borderId="22" xfId="41" applyFont="1" applyFill="1" applyBorder="1" applyAlignment="1">
      <alignment horizontal="center" vertical="center" wrapText="1"/>
    </xf>
    <xf numFmtId="0" fontId="36" fillId="0" borderId="23" xfId="41" applyFont="1" applyFill="1" applyBorder="1" applyAlignment="1">
      <alignment horizontal="center" vertical="center" wrapText="1"/>
    </xf>
    <xf numFmtId="0" fontId="65" fillId="0" borderId="0" xfId="53" applyFont="1" applyFill="1" applyAlignment="1">
      <alignment horizontal="center" vertical="center"/>
    </xf>
    <xf numFmtId="0" fontId="9" fillId="0" borderId="24" xfId="41" applyFont="1" applyFill="1" applyBorder="1" applyAlignment="1">
      <alignment horizontal="left" vertical="center"/>
    </xf>
    <xf numFmtId="0" fontId="36" fillId="0" borderId="14" xfId="41" applyFont="1" applyFill="1" applyBorder="1" applyAlignment="1">
      <alignment horizontal="center" vertical="center"/>
    </xf>
    <xf numFmtId="0" fontId="36" fillId="0" borderId="13" xfId="41" applyFont="1" applyFill="1" applyBorder="1" applyAlignment="1">
      <alignment horizontal="center" vertical="center"/>
    </xf>
    <xf numFmtId="0" fontId="36" fillId="0" borderId="12" xfId="41" applyFont="1" applyFill="1" applyBorder="1" applyAlignment="1">
      <alignment horizontal="center" vertical="center"/>
    </xf>
    <xf numFmtId="0" fontId="36" fillId="0" borderId="14" xfId="41" applyFont="1" applyBorder="1" applyAlignment="1">
      <alignment horizontal="center" vertical="center" wrapText="1"/>
    </xf>
    <xf numFmtId="0" fontId="36" fillId="0" borderId="12" xfId="41" applyFont="1" applyBorder="1" applyAlignment="1">
      <alignment horizontal="center" vertical="center" wrapText="1"/>
    </xf>
    <xf numFmtId="0" fontId="65" fillId="0" borderId="0" xfId="53" applyFont="1" applyAlignment="1">
      <alignment horizontal="center" vertical="center"/>
    </xf>
    <xf numFmtId="0" fontId="36" fillId="0" borderId="13" xfId="41" applyFont="1" applyBorder="1" applyAlignment="1">
      <alignment horizontal="center" vertical="center" wrapText="1"/>
    </xf>
    <xf numFmtId="0" fontId="36" fillId="0" borderId="25" xfId="41" applyFont="1" applyBorder="1" applyAlignment="1">
      <alignment horizontal="center" vertical="center" wrapText="1"/>
    </xf>
    <xf numFmtId="0" fontId="36" fillId="0" borderId="26" xfId="41" applyFont="1" applyBorder="1" applyAlignment="1">
      <alignment horizontal="center" vertical="center" wrapText="1"/>
    </xf>
    <xf numFmtId="0" fontId="36" fillId="0" borderId="27" xfId="41" applyFont="1" applyBorder="1" applyAlignment="1">
      <alignment horizontal="center" vertical="center" wrapText="1"/>
    </xf>
    <xf numFmtId="0" fontId="36" fillId="0" borderId="28" xfId="41" applyFont="1" applyBorder="1" applyAlignment="1">
      <alignment horizontal="center" vertical="center" wrapText="1"/>
    </xf>
    <xf numFmtId="0" fontId="36" fillId="0" borderId="11" xfId="41" applyFont="1" applyBorder="1" applyAlignment="1">
      <alignment horizontal="center" vertical="center" wrapText="1"/>
    </xf>
    <xf numFmtId="0" fontId="36" fillId="0" borderId="23" xfId="41" applyFont="1" applyBorder="1" applyAlignment="1">
      <alignment horizontal="center" vertical="center" wrapText="1"/>
    </xf>
    <xf numFmtId="0" fontId="36" fillId="0" borderId="22" xfId="41" applyFont="1" applyBorder="1" applyAlignment="1">
      <alignment horizontal="center" vertical="center" wrapText="1"/>
    </xf>
    <xf numFmtId="0" fontId="2" fillId="0" borderId="0" xfId="53" applyFont="1" applyAlignment="1">
      <alignment horizontal="center" vertical="center"/>
    </xf>
    <xf numFmtId="0" fontId="2" fillId="0" borderId="0" xfId="53" applyFont="1" applyFill="1" applyBorder="1" applyAlignment="1">
      <alignment horizontal="center" vertical="center"/>
    </xf>
    <xf numFmtId="0" fontId="68" fillId="26" borderId="0" xfId="52" applyFont="1" applyFill="1" applyAlignment="1">
      <alignment horizontal="center"/>
    </xf>
    <xf numFmtId="0" fontId="55" fillId="0" borderId="11" xfId="0" applyFont="1" applyBorder="1" applyAlignment="1">
      <alignment horizontal="center" vertical="center"/>
    </xf>
    <xf numFmtId="0" fontId="55" fillId="0" borderId="23" xfId="0" applyFont="1" applyBorder="1" applyAlignment="1">
      <alignment horizontal="center" vertical="center"/>
    </xf>
    <xf numFmtId="0" fontId="55" fillId="0" borderId="22" xfId="0" applyFont="1" applyBorder="1" applyAlignment="1">
      <alignment horizontal="center" vertical="center"/>
    </xf>
    <xf numFmtId="0" fontId="55" fillId="0" borderId="10" xfId="0" applyFont="1" applyBorder="1" applyAlignment="1">
      <alignment horizontal="center" vertical="center"/>
    </xf>
    <xf numFmtId="0" fontId="68" fillId="0" borderId="0" xfId="52" applyFont="1" applyFill="1" applyAlignment="1">
      <alignment horizontal="center"/>
    </xf>
    <xf numFmtId="0" fontId="67" fillId="0" borderId="0" xfId="52" applyFont="1" applyFill="1" applyAlignment="1">
      <alignment horizontal="center"/>
    </xf>
    <xf numFmtId="0" fontId="44" fillId="26" borderId="0" xfId="53" applyFont="1" applyFill="1" applyAlignment="1">
      <alignment horizontal="center" vertical="center"/>
    </xf>
    <xf numFmtId="0" fontId="60" fillId="26" borderId="0" xfId="53" applyFont="1" applyFill="1" applyAlignment="1">
      <alignment horizontal="center" vertical="center" wrapText="1"/>
    </xf>
    <xf numFmtId="0" fontId="66" fillId="0" borderId="11" xfId="53" applyFont="1" applyBorder="1" applyAlignment="1">
      <alignment horizontal="center" vertical="center" wrapText="1"/>
    </xf>
    <xf numFmtId="0" fontId="66" fillId="0" borderId="23" xfId="53" applyFont="1" applyBorder="1" applyAlignment="1">
      <alignment horizontal="center" vertical="center" wrapText="1"/>
    </xf>
    <xf numFmtId="0" fontId="66" fillId="0" borderId="22" xfId="53" applyFont="1" applyBorder="1" applyAlignment="1">
      <alignment horizontal="center" vertical="center" wrapText="1"/>
    </xf>
    <xf numFmtId="0" fontId="41" fillId="0" borderId="0" xfId="0" applyFont="1" applyFill="1" applyAlignment="1">
      <alignment horizontal="center" vertical="center"/>
    </xf>
    <xf numFmtId="0" fontId="6" fillId="0" borderId="0" xfId="53" applyFont="1" applyFill="1" applyAlignment="1">
      <alignment horizontal="center" vertical="center"/>
    </xf>
    <xf numFmtId="0" fontId="33" fillId="26" borderId="29" xfId="42" applyFont="1" applyFill="1" applyBorder="1" applyAlignment="1">
      <alignment horizontal="center" vertical="center" wrapText="1"/>
    </xf>
    <xf numFmtId="0" fontId="33" fillId="26" borderId="30" xfId="42" applyFont="1" applyFill="1" applyBorder="1" applyAlignment="1">
      <alignment horizontal="center" vertical="center" wrapText="1"/>
    </xf>
    <xf numFmtId="0" fontId="33" fillId="26" borderId="31" xfId="42" applyFont="1" applyFill="1" applyBorder="1" applyAlignment="1">
      <alignment horizontal="center" vertical="center" wrapText="1"/>
    </xf>
    <xf numFmtId="0" fontId="3" fillId="0" borderId="0" xfId="53" applyFont="1" applyAlignment="1">
      <alignment vertical="center"/>
    </xf>
    <xf numFmtId="0" fontId="33" fillId="26" borderId="32" xfId="42" applyFont="1" applyFill="1" applyBorder="1" applyAlignment="1">
      <alignment horizontal="center" vertical="center" wrapText="1"/>
    </xf>
    <xf numFmtId="0" fontId="33" fillId="26" borderId="10" xfId="42" applyFont="1" applyFill="1" applyBorder="1" applyAlignment="1">
      <alignment horizontal="center" vertical="center" wrapText="1"/>
    </xf>
    <xf numFmtId="0" fontId="33" fillId="26" borderId="33" xfId="42" applyFont="1" applyFill="1" applyBorder="1" applyAlignment="1">
      <alignment horizontal="center" vertical="center" wrapText="1"/>
    </xf>
    <xf numFmtId="0" fontId="2" fillId="0" borderId="0" xfId="53" applyFont="1" applyFill="1" applyBorder="1" applyAlignment="1">
      <alignment vertical="center"/>
    </xf>
    <xf numFmtId="0" fontId="36" fillId="0" borderId="0" xfId="42" applyFont="1" applyFill="1" applyAlignment="1">
      <alignment horizontal="center" vertical="top" wrapText="1"/>
    </xf>
    <xf numFmtId="0" fontId="36" fillId="0" borderId="10" xfId="0" applyFont="1" applyFill="1" applyBorder="1" applyAlignment="1">
      <alignment horizontal="center" vertical="center" wrapText="1"/>
    </xf>
    <xf numFmtId="0" fontId="36" fillId="0" borderId="12" xfId="42" applyFont="1" applyFill="1" applyBorder="1" applyAlignment="1">
      <alignment horizontal="center" vertical="center" wrapText="1"/>
    </xf>
    <xf numFmtId="0" fontId="36" fillId="0" borderId="27"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0" xfId="42"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4" xfId="42" applyNumberFormat="1" applyFont="1" applyFill="1" applyBorder="1" applyAlignment="1">
      <alignment horizontal="center" vertical="center" wrapText="1"/>
    </xf>
    <xf numFmtId="0" fontId="36" fillId="0" borderId="13" xfId="42" applyNumberFormat="1" applyFont="1" applyFill="1" applyBorder="1" applyAlignment="1">
      <alignment horizontal="center" vertical="center" wrapText="1"/>
    </xf>
    <xf numFmtId="0" fontId="36" fillId="0" borderId="12" xfId="42" applyNumberFormat="1" applyFont="1" applyFill="1" applyBorder="1" applyAlignment="1">
      <alignment horizontal="center" vertical="center" wrapText="1"/>
    </xf>
    <xf numFmtId="0" fontId="36" fillId="0" borderId="11" xfId="57" applyFont="1" applyFill="1" applyBorder="1" applyAlignment="1">
      <alignment horizontal="center" vertical="center"/>
    </xf>
    <xf numFmtId="0" fontId="36" fillId="0" borderId="23" xfId="57" applyFont="1" applyFill="1" applyBorder="1" applyAlignment="1">
      <alignment horizontal="center" vertical="center"/>
    </xf>
    <xf numFmtId="0" fontId="36" fillId="0" borderId="22" xfId="57" applyFont="1" applyFill="1" applyBorder="1" applyAlignment="1">
      <alignment horizontal="center" vertical="center"/>
    </xf>
    <xf numFmtId="0" fontId="36" fillId="0" borderId="11" xfId="42" applyFont="1" applyFill="1" applyBorder="1" applyAlignment="1">
      <alignment horizontal="center" vertical="center" wrapText="1"/>
    </xf>
    <xf numFmtId="0" fontId="36" fillId="0" borderId="22" xfId="42" applyFont="1" applyFill="1" applyBorder="1" applyAlignment="1">
      <alignment horizontal="center" vertical="center" wrapText="1"/>
    </xf>
    <xf numFmtId="0" fontId="9" fillId="0" borderId="0" xfId="42" applyFont="1" applyFill="1" applyBorder="1" applyAlignment="1">
      <alignment horizontal="left"/>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36" fillId="0" borderId="25" xfId="42" applyFont="1" applyFill="1" applyBorder="1" applyAlignment="1">
      <alignment horizontal="center" vertical="center" wrapText="1"/>
    </xf>
    <xf numFmtId="0" fontId="36" fillId="0" borderId="26" xfId="42" applyFont="1" applyFill="1" applyBorder="1" applyAlignment="1">
      <alignment horizontal="center" vertical="center" wrapText="1"/>
    </xf>
    <xf numFmtId="0" fontId="9" fillId="0" borderId="0" xfId="42" applyFont="1" applyFill="1" applyAlignment="1">
      <alignment horizontal="center"/>
    </xf>
    <xf numFmtId="0" fontId="36" fillId="0" borderId="14" xfId="42" applyFont="1" applyFill="1" applyBorder="1" applyAlignment="1">
      <alignment horizontal="center" vertical="center" wrapText="1"/>
    </xf>
    <xf numFmtId="0" fontId="36" fillId="0" borderId="13" xfId="42" applyFont="1" applyFill="1" applyBorder="1" applyAlignment="1">
      <alignment horizontal="center" vertical="center" wrapText="1"/>
    </xf>
    <xf numFmtId="0" fontId="36" fillId="0" borderId="0" xfId="42" applyFont="1" applyFill="1" applyAlignment="1">
      <alignment horizontal="center"/>
    </xf>
    <xf numFmtId="0" fontId="36" fillId="0" borderId="25" xfId="42" applyFont="1" applyFill="1" applyBorder="1" applyAlignment="1">
      <alignment horizontal="center" vertical="center"/>
    </xf>
    <xf numFmtId="0" fontId="36" fillId="0" borderId="26" xfId="42" applyFont="1" applyFill="1" applyBorder="1" applyAlignment="1">
      <alignment horizontal="center" vertical="center"/>
    </xf>
    <xf numFmtId="0" fontId="36" fillId="0" borderId="27" xfId="42" applyFont="1" applyFill="1" applyBorder="1" applyAlignment="1">
      <alignment horizontal="center" vertical="center"/>
    </xf>
    <xf numFmtId="0" fontId="36" fillId="0" borderId="28" xfId="42" applyFont="1" applyFill="1" applyBorder="1" applyAlignment="1">
      <alignment horizontal="center" vertical="center"/>
    </xf>
    <xf numFmtId="0" fontId="41" fillId="26" borderId="0" xfId="53" applyFont="1" applyFill="1" applyAlignment="1">
      <alignment horizontal="center" vertical="center"/>
    </xf>
    <xf numFmtId="0" fontId="54" fillId="26" borderId="0" xfId="53" applyFont="1" applyFill="1" applyAlignment="1">
      <alignment horizontal="center" vertical="center"/>
    </xf>
    <xf numFmtId="0" fontId="9" fillId="26" borderId="0" xfId="53" applyFont="1" applyFill="1" applyAlignment="1">
      <alignment horizontal="center" vertical="center"/>
    </xf>
    <xf numFmtId="0" fontId="10" fillId="26" borderId="0" xfId="53" applyFont="1" applyFill="1" applyBorder="1" applyAlignment="1">
      <alignment horizontal="center" vertical="center"/>
    </xf>
    <xf numFmtId="0" fontId="67" fillId="26" borderId="24" xfId="52" applyFont="1" applyFill="1" applyBorder="1" applyAlignment="1">
      <alignment horizontal="center"/>
    </xf>
    <xf numFmtId="0" fontId="66" fillId="0" borderId="14" xfId="52" applyFont="1" applyFill="1" applyBorder="1" applyAlignment="1">
      <alignment horizontal="center" vertical="center" wrapText="1"/>
    </xf>
    <xf numFmtId="0" fontId="66" fillId="0" borderId="13" xfId="52" applyFont="1" applyFill="1" applyBorder="1" applyAlignment="1">
      <alignment horizontal="center" vertical="center" wrapText="1"/>
    </xf>
    <xf numFmtId="0" fontId="66" fillId="0" borderId="12" xfId="52" applyFont="1" applyFill="1" applyBorder="1" applyAlignment="1">
      <alignment horizontal="center" vertical="center" wrapText="1"/>
    </xf>
    <xf numFmtId="0" fontId="66" fillId="0" borderId="25" xfId="52" applyFont="1" applyFill="1" applyBorder="1" applyAlignment="1">
      <alignment horizontal="center" vertical="center" wrapText="1"/>
    </xf>
    <xf numFmtId="0" fontId="66" fillId="0" borderId="34" xfId="52" applyFont="1" applyFill="1" applyBorder="1" applyAlignment="1">
      <alignment horizontal="center" vertical="center" wrapText="1"/>
    </xf>
    <xf numFmtId="0" fontId="66" fillId="0" borderId="27" xfId="52" applyFont="1" applyFill="1" applyBorder="1" applyAlignment="1">
      <alignment horizontal="center" vertical="center" wrapText="1"/>
    </xf>
    <xf numFmtId="0" fontId="36" fillId="0" borderId="10" xfId="52" applyFont="1" applyFill="1" applyBorder="1" applyAlignment="1" applyProtection="1">
      <alignment horizontal="center" vertical="center" textRotation="90"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23" xfId="52" applyFont="1" applyFill="1" applyBorder="1" applyAlignment="1">
      <alignment horizontal="center" vertical="center" wrapText="1"/>
    </xf>
    <xf numFmtId="0" fontId="66" fillId="0" borderId="22" xfId="52" applyFont="1" applyFill="1" applyBorder="1" applyAlignment="1">
      <alignment horizontal="center" vertical="center" wrapText="1"/>
    </xf>
    <xf numFmtId="0" fontId="36" fillId="0" borderId="14" xfId="42" applyFont="1" applyFill="1" applyBorder="1" applyAlignment="1">
      <alignment horizontal="center" vertical="center" textRotation="90" wrapText="1"/>
    </xf>
    <xf numFmtId="0" fontId="36" fillId="0" borderId="12" xfId="42" applyFont="1" applyFill="1" applyBorder="1" applyAlignment="1">
      <alignment horizontal="center" vertical="center" textRotation="90" wrapText="1"/>
    </xf>
    <xf numFmtId="0" fontId="66" fillId="0" borderId="14" xfId="52" applyFont="1" applyFill="1" applyBorder="1" applyAlignment="1">
      <alignment horizontal="center" vertical="center" textRotation="90" wrapText="1"/>
    </xf>
    <xf numFmtId="0" fontId="66" fillId="0" borderId="12" xfId="52" applyFont="1" applyFill="1" applyBorder="1" applyAlignment="1">
      <alignment horizontal="center" vertical="center" textRotation="90" wrapText="1"/>
    </xf>
    <xf numFmtId="0" fontId="70" fillId="0" borderId="14" xfId="48" applyFont="1" applyFill="1" applyBorder="1" applyAlignment="1">
      <alignment horizontal="center" vertical="center" textRotation="90" wrapText="1"/>
    </xf>
    <xf numFmtId="0" fontId="70" fillId="0" borderId="12" xfId="48" applyFont="1" applyFill="1" applyBorder="1" applyAlignment="1">
      <alignment horizontal="center" vertical="center" textRotation="90" wrapText="1"/>
    </xf>
    <xf numFmtId="0" fontId="66" fillId="0" borderId="10" xfId="52" applyFont="1" applyFill="1" applyBorder="1" applyAlignment="1">
      <alignment horizontal="center" vertical="center" textRotation="90" wrapText="1"/>
    </xf>
    <xf numFmtId="0" fontId="34" fillId="26" borderId="0" xfId="52" applyFont="1" applyFill="1" applyAlignment="1">
      <alignment horizontal="center"/>
    </xf>
    <xf numFmtId="0" fontId="66" fillId="0" borderId="14" xfId="52" applyFont="1" applyFill="1" applyBorder="1" applyAlignment="1">
      <alignment horizontal="center" vertical="center"/>
    </xf>
    <xf numFmtId="0" fontId="66" fillId="0" borderId="12" xfId="52" applyFont="1" applyFill="1" applyBorder="1" applyAlignment="1">
      <alignment horizontal="center" vertical="center"/>
    </xf>
    <xf numFmtId="0" fontId="69" fillId="0"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36" fillId="0" borderId="14" xfId="52" applyFont="1" applyFill="1" applyBorder="1" applyAlignment="1" applyProtection="1">
      <alignment horizontal="center" vertical="center" wrapText="1"/>
    </xf>
    <xf numFmtId="0" fontId="36" fillId="0" borderId="12" xfId="52" applyFont="1" applyFill="1" applyBorder="1" applyAlignment="1" applyProtection="1">
      <alignment horizontal="center" vertical="center" wrapText="1"/>
    </xf>
    <xf numFmtId="0" fontId="35" fillId="0" borderId="0" xfId="42" applyFont="1" applyFill="1" applyAlignment="1">
      <alignment horizontal="center" wrapText="1"/>
    </xf>
    <xf numFmtId="0" fontId="35" fillId="0" borderId="0" xfId="42" applyFont="1" applyFill="1" applyAlignment="1">
      <alignment horizontal="center"/>
    </xf>
    <xf numFmtId="0" fontId="41" fillId="0" borderId="0" xfId="42" applyFont="1" applyFill="1" applyAlignment="1">
      <alignment horizontal="center"/>
    </xf>
    <xf numFmtId="2" fontId="9" fillId="0" borderId="0" xfId="42" applyNumberFormat="1" applyFill="1" applyAlignment="1">
      <alignment vertical="center" wrapText="1"/>
    </xf>
    <xf numFmtId="4" fontId="9" fillId="0" borderId="0" xfId="42" applyNumberFormat="1" applyFill="1" applyAlignment="1">
      <alignment vertical="center" wrapText="1"/>
    </xf>
  </cellXfs>
  <cellStyles count="85">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37"/>
    <cellStyle name="Обычный 12 2" xfId="38"/>
    <cellStyle name="Обычный 18"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ИПР 2008 ПЭ корр_прил 1.1" xfId="56"/>
    <cellStyle name="Обычный_Форматы по компаниям_last" xfId="57"/>
    <cellStyle name="Плохой 2" xfId="58"/>
    <cellStyle name="Пояснение 2" xfId="59"/>
    <cellStyle name="Примечание 2" xfId="60"/>
    <cellStyle name="Примечание 2 2" xfId="84"/>
    <cellStyle name="Процентный" xfId="61" builtinId="5"/>
    <cellStyle name="Процентный 2" xfId="62"/>
    <cellStyle name="Процентный 3"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22</v>
      </c>
      <c r="F1" s="14"/>
      <c r="G1" s="14"/>
    </row>
    <row r="2" spans="1:22" s="10" customFormat="1" ht="18.75" customHeight="1" x14ac:dyDescent="0.3">
      <c r="A2" s="16"/>
      <c r="C2" s="13" t="s">
        <v>6</v>
      </c>
      <c r="F2" s="14"/>
      <c r="G2" s="14"/>
    </row>
    <row r="3" spans="1:22" s="10" customFormat="1" ht="18.75" x14ac:dyDescent="0.3">
      <c r="A3" s="15"/>
      <c r="C3" s="13" t="s">
        <v>21</v>
      </c>
      <c r="F3" s="14"/>
      <c r="G3" s="14"/>
    </row>
    <row r="4" spans="1:22" s="10" customFormat="1" ht="18.75" x14ac:dyDescent="0.3">
      <c r="A4" s="15"/>
      <c r="F4" s="14"/>
      <c r="G4" s="14"/>
      <c r="H4" s="13"/>
    </row>
    <row r="5" spans="1:22" s="10" customFormat="1" ht="15.75" x14ac:dyDescent="0.25">
      <c r="A5" s="238" t="str">
        <f>'[1]6.2. отчет'!$B$2</f>
        <v>Год раскрытия информации: 2025 год</v>
      </c>
      <c r="B5" s="238"/>
      <c r="C5" s="238"/>
      <c r="D5" s="79"/>
      <c r="E5" s="79"/>
      <c r="F5" s="79"/>
      <c r="G5" s="79"/>
      <c r="H5" s="79"/>
      <c r="I5" s="79"/>
      <c r="J5" s="79"/>
    </row>
    <row r="6" spans="1:22" s="10" customFormat="1" ht="18.75" x14ac:dyDescent="0.3">
      <c r="A6" s="15"/>
      <c r="F6" s="14"/>
      <c r="G6" s="14"/>
      <c r="H6" s="13"/>
    </row>
    <row r="7" spans="1:22" s="10" customFormat="1" ht="18.75" x14ac:dyDescent="0.2">
      <c r="A7" s="242" t="s">
        <v>5</v>
      </c>
      <c r="B7" s="242"/>
      <c r="C7" s="24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3" t="s">
        <v>177</v>
      </c>
      <c r="B9" s="243"/>
      <c r="C9" s="243"/>
      <c r="D9" s="6"/>
      <c r="E9" s="6"/>
      <c r="F9" s="6"/>
      <c r="G9" s="6"/>
      <c r="H9" s="6"/>
      <c r="I9" s="11"/>
      <c r="J9" s="11"/>
      <c r="K9" s="11"/>
      <c r="L9" s="11"/>
      <c r="M9" s="11"/>
      <c r="N9" s="11"/>
      <c r="O9" s="11"/>
      <c r="P9" s="11"/>
      <c r="Q9" s="11"/>
      <c r="R9" s="11"/>
      <c r="S9" s="11"/>
      <c r="T9" s="11"/>
      <c r="U9" s="11"/>
      <c r="V9" s="11"/>
    </row>
    <row r="10" spans="1:22" s="10" customFormat="1" ht="18.75" x14ac:dyDescent="0.2">
      <c r="A10" s="239" t="s">
        <v>4</v>
      </c>
      <c r="B10" s="239"/>
      <c r="C10" s="23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4" t="s">
        <v>464</v>
      </c>
      <c r="B12" s="244"/>
      <c r="C12" s="244"/>
      <c r="D12" s="6"/>
      <c r="E12" s="6"/>
      <c r="F12" s="6"/>
      <c r="G12" s="6"/>
      <c r="H12" s="6"/>
      <c r="I12" s="11"/>
      <c r="J12" s="11"/>
      <c r="K12" s="11"/>
      <c r="L12" s="11"/>
      <c r="M12" s="11"/>
      <c r="N12" s="11"/>
      <c r="O12" s="11"/>
      <c r="P12" s="11"/>
      <c r="Q12" s="11"/>
      <c r="R12" s="11"/>
      <c r="S12" s="11"/>
      <c r="T12" s="11"/>
      <c r="U12" s="11"/>
      <c r="V12" s="11"/>
    </row>
    <row r="13" spans="1:22" s="10" customFormat="1" ht="18.75" x14ac:dyDescent="0.2">
      <c r="A13" s="239" t="s">
        <v>3</v>
      </c>
      <c r="B13" s="239"/>
      <c r="C13" s="23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4.75" customHeight="1" x14ac:dyDescent="0.2">
      <c r="A15" s="245" t="str">
        <f>VLOOKUP(A12,'[1]6.2. отчет'!$A:$C,3,0)</f>
        <v>Приобретение оборудования в рамках Программы подготовки к ОЗП 2020/2021 гг.</v>
      </c>
      <c r="B15" s="246"/>
      <c r="C15" s="246"/>
      <c r="D15" s="6"/>
      <c r="E15" s="6"/>
      <c r="F15" s="6"/>
      <c r="G15" s="6"/>
      <c r="H15" s="6"/>
      <c r="I15" s="6"/>
      <c r="J15" s="6"/>
      <c r="K15" s="6"/>
      <c r="L15" s="6"/>
      <c r="M15" s="6"/>
      <c r="N15" s="6"/>
      <c r="O15" s="6"/>
      <c r="P15" s="6"/>
      <c r="Q15" s="6"/>
      <c r="R15" s="6"/>
      <c r="S15" s="6"/>
      <c r="T15" s="6"/>
      <c r="U15" s="6"/>
      <c r="V15" s="6"/>
    </row>
    <row r="16" spans="1:22" s="2" customFormat="1" ht="15" customHeight="1" x14ac:dyDescent="0.2">
      <c r="A16" s="239" t="s">
        <v>2</v>
      </c>
      <c r="B16" s="239"/>
      <c r="C16" s="23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0" t="s">
        <v>171</v>
      </c>
      <c r="B18" s="241"/>
      <c r="C18" s="24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1</v>
      </c>
      <c r="B20" s="32" t="s">
        <v>20</v>
      </c>
      <c r="C20" s="31" t="s">
        <v>19</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18</v>
      </c>
      <c r="B22" s="35" t="s">
        <v>99</v>
      </c>
      <c r="C22" s="101" t="s">
        <v>195</v>
      </c>
      <c r="D22" s="23"/>
      <c r="E22" s="23"/>
      <c r="F22" s="23"/>
      <c r="G22" s="23"/>
      <c r="H22" s="23"/>
      <c r="I22" s="22"/>
      <c r="J22" s="22"/>
      <c r="K22" s="22"/>
      <c r="L22" s="22"/>
      <c r="M22" s="22"/>
      <c r="N22" s="22"/>
      <c r="O22" s="22"/>
      <c r="P22" s="22"/>
      <c r="Q22" s="22"/>
      <c r="R22" s="22"/>
      <c r="S22" s="22"/>
      <c r="T22" s="21"/>
      <c r="U22" s="21"/>
      <c r="V22" s="21"/>
    </row>
    <row r="23" spans="1:22" s="2" customFormat="1" ht="30.6" customHeight="1" x14ac:dyDescent="0.2">
      <c r="A23" s="18" t="s">
        <v>17</v>
      </c>
      <c r="B23" s="30" t="s">
        <v>196</v>
      </c>
      <c r="C23" s="34" t="s">
        <v>229</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35"/>
      <c r="B24" s="236"/>
      <c r="C24" s="237"/>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16</v>
      </c>
      <c r="B25" s="78" t="s">
        <v>147</v>
      </c>
      <c r="C25" s="29" t="s">
        <v>453</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15</v>
      </c>
      <c r="B26" s="78" t="s">
        <v>28</v>
      </c>
      <c r="C26" s="29" t="s">
        <v>178</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13</v>
      </c>
      <c r="B27" s="78" t="s">
        <v>27</v>
      </c>
      <c r="C27" s="29" t="s">
        <v>178</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12</v>
      </c>
      <c r="B28" s="78" t="s">
        <v>148</v>
      </c>
      <c r="C28" s="29" t="s">
        <v>179</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10</v>
      </c>
      <c r="B29" s="78" t="s">
        <v>149</v>
      </c>
      <c r="C29" s="29" t="s">
        <v>179</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8</v>
      </c>
      <c r="B30" s="78" t="s">
        <v>150</v>
      </c>
      <c r="C30" s="29" t="s">
        <v>179</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26</v>
      </c>
      <c r="B31" s="34" t="s">
        <v>151</v>
      </c>
      <c r="C31" s="29" t="s">
        <v>179</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24</v>
      </c>
      <c r="B32" s="34" t="s">
        <v>152</v>
      </c>
      <c r="C32" s="29" t="s">
        <v>179</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23</v>
      </c>
      <c r="B33" s="34" t="s">
        <v>153</v>
      </c>
      <c r="C33" s="34" t="s">
        <v>180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161</v>
      </c>
      <c r="B34" s="34" t="s">
        <v>154</v>
      </c>
      <c r="C34" s="19" t="s">
        <v>180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157</v>
      </c>
      <c r="B35" s="34" t="s">
        <v>25</v>
      </c>
      <c r="C35" s="19" t="s">
        <v>179</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162</v>
      </c>
      <c r="B36" s="34" t="s">
        <v>155</v>
      </c>
      <c r="C36" s="19" t="s">
        <v>180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158</v>
      </c>
      <c r="B37" s="34" t="s">
        <v>156</v>
      </c>
      <c r="C37" s="19" t="s">
        <v>180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163</v>
      </c>
      <c r="B38" s="34" t="s">
        <v>97</v>
      </c>
      <c r="C38" s="19" t="s">
        <v>179</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35"/>
      <c r="B39" s="236"/>
      <c r="C39" s="237"/>
      <c r="D39" s="17"/>
      <c r="E39" s="17"/>
      <c r="F39" s="17"/>
      <c r="G39" s="17"/>
      <c r="H39" s="17"/>
      <c r="I39" s="17"/>
      <c r="J39" s="17"/>
      <c r="K39" s="17"/>
      <c r="L39" s="17"/>
      <c r="M39" s="17"/>
      <c r="N39" s="17"/>
      <c r="O39" s="17"/>
      <c r="P39" s="17"/>
      <c r="Q39" s="17"/>
      <c r="R39" s="17"/>
      <c r="S39" s="17"/>
      <c r="T39" s="17"/>
      <c r="U39" s="17"/>
      <c r="V39" s="17"/>
    </row>
    <row r="40" spans="1:22" ht="101.25" customHeight="1" x14ac:dyDescent="0.3">
      <c r="A40" s="18" t="s">
        <v>159</v>
      </c>
      <c r="B40" s="34" t="s">
        <v>172</v>
      </c>
      <c r="C40" s="82" t="s">
        <v>180</v>
      </c>
      <c r="D40" s="17"/>
      <c r="E40" s="17"/>
      <c r="F40" s="17"/>
      <c r="G40" s="17"/>
      <c r="H40" s="17"/>
      <c r="I40" s="17"/>
      <c r="J40" s="17"/>
      <c r="K40" s="17"/>
      <c r="L40" s="17"/>
      <c r="M40" s="17"/>
      <c r="N40" s="17"/>
      <c r="O40" s="17"/>
      <c r="P40" s="17"/>
      <c r="Q40" s="17"/>
      <c r="R40" s="17"/>
      <c r="S40" s="17"/>
      <c r="T40" s="17"/>
      <c r="U40" s="17"/>
      <c r="V40" s="17"/>
    </row>
    <row r="41" spans="1:22" s="105" customFormat="1" ht="101.25" customHeight="1" x14ac:dyDescent="0.25">
      <c r="A41" s="102" t="s">
        <v>164</v>
      </c>
      <c r="B41" s="101" t="s">
        <v>197</v>
      </c>
      <c r="C41" s="103" t="s">
        <v>198</v>
      </c>
      <c r="D41" s="104"/>
      <c r="E41" s="104"/>
      <c r="F41" s="104"/>
      <c r="G41" s="104"/>
      <c r="H41" s="104"/>
      <c r="I41" s="104"/>
      <c r="J41" s="104"/>
      <c r="K41" s="104"/>
      <c r="L41" s="104"/>
      <c r="M41" s="104"/>
      <c r="N41" s="104"/>
      <c r="O41" s="104"/>
      <c r="P41" s="104"/>
      <c r="Q41" s="104"/>
      <c r="R41" s="104"/>
      <c r="S41" s="104"/>
      <c r="T41" s="104"/>
      <c r="U41" s="104"/>
      <c r="V41" s="104"/>
    </row>
    <row r="42" spans="1:22" s="105" customFormat="1" ht="101.25" customHeight="1" x14ac:dyDescent="0.25">
      <c r="A42" s="102" t="s">
        <v>160</v>
      </c>
      <c r="B42" s="101" t="s">
        <v>199</v>
      </c>
      <c r="C42" s="103" t="s">
        <v>208</v>
      </c>
      <c r="D42" s="104"/>
      <c r="E42" s="104"/>
      <c r="F42" s="104"/>
      <c r="G42" s="104"/>
      <c r="H42" s="104"/>
      <c r="I42" s="104"/>
      <c r="J42" s="104"/>
      <c r="K42" s="104"/>
      <c r="L42" s="104"/>
      <c r="M42" s="104"/>
      <c r="N42" s="104"/>
      <c r="O42" s="104"/>
      <c r="P42" s="104"/>
      <c r="Q42" s="104"/>
      <c r="R42" s="104"/>
      <c r="S42" s="104"/>
      <c r="T42" s="104"/>
      <c r="U42" s="104"/>
      <c r="V42" s="104"/>
    </row>
    <row r="43" spans="1:22" s="105" customFormat="1" ht="101.25" customHeight="1" x14ac:dyDescent="0.25">
      <c r="A43" s="102" t="s">
        <v>181</v>
      </c>
      <c r="B43" s="101" t="s">
        <v>200</v>
      </c>
      <c r="C43" s="103" t="s">
        <v>201</v>
      </c>
      <c r="D43" s="104"/>
      <c r="E43" s="104"/>
      <c r="F43" s="104"/>
      <c r="G43" s="104"/>
      <c r="H43" s="104"/>
      <c r="I43" s="104"/>
      <c r="J43" s="104"/>
      <c r="K43" s="104"/>
      <c r="L43" s="104"/>
      <c r="M43" s="104"/>
      <c r="N43" s="104"/>
      <c r="O43" s="104"/>
      <c r="P43" s="104"/>
      <c r="Q43" s="104"/>
      <c r="R43" s="104"/>
      <c r="S43" s="104"/>
      <c r="T43" s="104"/>
      <c r="U43" s="104"/>
      <c r="V43" s="104"/>
    </row>
    <row r="44" spans="1:22" s="105" customFormat="1" ht="101.25" customHeight="1" x14ac:dyDescent="0.25">
      <c r="A44" s="102" t="s">
        <v>189</v>
      </c>
      <c r="B44" s="101" t="s">
        <v>202</v>
      </c>
      <c r="C44" s="103" t="s">
        <v>229</v>
      </c>
      <c r="D44" s="104"/>
      <c r="E44" s="104"/>
      <c r="F44" s="104"/>
      <c r="G44" s="104"/>
      <c r="H44" s="104"/>
      <c r="I44" s="104"/>
      <c r="J44" s="104"/>
      <c r="K44" s="104"/>
      <c r="L44" s="104"/>
      <c r="M44" s="104"/>
      <c r="N44" s="104"/>
      <c r="O44" s="104"/>
      <c r="P44" s="104"/>
      <c r="Q44" s="104"/>
      <c r="R44" s="104"/>
      <c r="S44" s="104"/>
      <c r="T44" s="104"/>
      <c r="U44" s="104"/>
      <c r="V44" s="104"/>
    </row>
    <row r="45" spans="1:22" s="105" customFormat="1" ht="101.25" customHeight="1" x14ac:dyDescent="0.25">
      <c r="A45" s="102" t="s">
        <v>203</v>
      </c>
      <c r="B45" s="101" t="s">
        <v>204</v>
      </c>
      <c r="C45" s="103" t="s">
        <v>229</v>
      </c>
      <c r="D45" s="104"/>
      <c r="E45" s="104"/>
      <c r="F45" s="104"/>
      <c r="G45" s="104"/>
      <c r="H45" s="104"/>
      <c r="I45" s="104"/>
      <c r="J45" s="104"/>
      <c r="K45" s="104"/>
      <c r="L45" s="104"/>
      <c r="M45" s="104"/>
      <c r="N45" s="104"/>
      <c r="O45" s="104"/>
      <c r="P45" s="104"/>
      <c r="Q45" s="104"/>
      <c r="R45" s="104"/>
      <c r="S45" s="104"/>
      <c r="T45" s="104"/>
      <c r="U45" s="104"/>
      <c r="V45" s="104"/>
    </row>
    <row r="46" spans="1:22" s="105" customFormat="1" ht="101.25" customHeight="1" x14ac:dyDescent="0.25">
      <c r="A46" s="102" t="s">
        <v>205</v>
      </c>
      <c r="B46" s="101" t="s">
        <v>172</v>
      </c>
      <c r="C46" s="103" t="s">
        <v>229</v>
      </c>
      <c r="D46" s="104"/>
      <c r="E46" s="104"/>
      <c r="F46" s="104"/>
      <c r="G46" s="104"/>
      <c r="H46" s="104"/>
      <c r="I46" s="104"/>
      <c r="J46" s="104"/>
      <c r="K46" s="104"/>
      <c r="L46" s="104"/>
      <c r="M46" s="104"/>
      <c r="N46" s="104"/>
      <c r="O46" s="104"/>
      <c r="P46" s="104"/>
      <c r="Q46" s="104"/>
      <c r="R46" s="104"/>
      <c r="S46" s="104"/>
      <c r="T46" s="104"/>
      <c r="U46" s="104"/>
      <c r="V46" s="104"/>
    </row>
    <row r="47" spans="1:22" ht="18.75" customHeight="1" x14ac:dyDescent="0.25">
      <c r="A47" s="235"/>
      <c r="B47" s="236"/>
      <c r="C47" s="237"/>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206</v>
      </c>
      <c r="B48" s="34" t="s">
        <v>175</v>
      </c>
      <c r="C48" s="201">
        <f>'6.2. Паспорт фин осв ввод'!D24</f>
        <v>49.895000000000003</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207</v>
      </c>
      <c r="B49" s="34" t="s">
        <v>176</v>
      </c>
      <c r="C49" s="201">
        <f>'6.2. Паспорт фин осв ввод'!D30</f>
        <v>41.579166659999999</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90"/>
  <sheetViews>
    <sheetView view="pageBreakPreview" topLeftCell="A25" zoomScale="60" zoomScaleNormal="70" workbookViewId="0">
      <selection activeCell="G30" sqref="G30"/>
    </sheetView>
  </sheetViews>
  <sheetFormatPr defaultColWidth="9.140625" defaultRowHeight="15.75" x14ac:dyDescent="0.25"/>
  <cols>
    <col min="1" max="1" width="9.140625" style="38"/>
    <col min="2" max="2" width="57.85546875" style="38" customWidth="1"/>
    <col min="3" max="3" width="14.28515625" style="38" customWidth="1"/>
    <col min="4" max="4" width="13.85546875" style="38" customWidth="1"/>
    <col min="5" max="5" width="16.85546875" style="38" customWidth="1"/>
    <col min="6" max="6" width="17.140625" style="38" customWidth="1"/>
    <col min="7" max="7" width="14.28515625" style="39" customWidth="1"/>
    <col min="8" max="8" width="10.140625" style="38" customWidth="1"/>
    <col min="9" max="9" width="9.5703125" style="38" customWidth="1"/>
    <col min="10" max="10" width="10.28515625" style="38" customWidth="1"/>
    <col min="11" max="11" width="9.7109375" style="38" customWidth="1"/>
    <col min="12" max="16384" width="9.140625" style="38"/>
  </cols>
  <sheetData>
    <row r="1" spans="1:7" x14ac:dyDescent="0.25">
      <c r="A1" s="39"/>
      <c r="B1" s="39"/>
      <c r="C1" s="39"/>
      <c r="D1" s="39"/>
      <c r="E1" s="39"/>
      <c r="F1" s="39"/>
    </row>
    <row r="2" spans="1:7" x14ac:dyDescent="0.25">
      <c r="A2" s="39"/>
      <c r="B2" s="39"/>
      <c r="C2" s="39"/>
      <c r="D2" s="39"/>
      <c r="E2" s="39"/>
      <c r="F2" s="39"/>
    </row>
    <row r="3" spans="1:7" x14ac:dyDescent="0.25">
      <c r="A3" s="39"/>
      <c r="B3" s="39"/>
      <c r="C3" s="39"/>
      <c r="D3" s="39"/>
      <c r="E3" s="39"/>
      <c r="F3" s="39"/>
    </row>
    <row r="4" spans="1:7" ht="18.75" customHeight="1" x14ac:dyDescent="0.25">
      <c r="A4" s="238" t="str">
        <f>'6.1. Паспорт сетевой график'!A5:J5</f>
        <v>Год раскрытия информации: 2021 год</v>
      </c>
      <c r="B4" s="238"/>
      <c r="C4" s="238"/>
      <c r="D4" s="238"/>
      <c r="E4" s="238"/>
      <c r="F4" s="238"/>
      <c r="G4" s="238"/>
    </row>
    <row r="5" spans="1:7" x14ac:dyDescent="0.25">
      <c r="A5" s="39"/>
      <c r="B5" s="39"/>
      <c r="C5" s="39"/>
      <c r="D5" s="39"/>
      <c r="E5" s="39"/>
      <c r="F5" s="39"/>
    </row>
    <row r="6" spans="1:7" ht="18.75" x14ac:dyDescent="0.25">
      <c r="A6" s="242" t="s">
        <v>5</v>
      </c>
      <c r="B6" s="242"/>
      <c r="C6" s="242"/>
      <c r="D6" s="242"/>
      <c r="E6" s="242"/>
      <c r="F6" s="242"/>
      <c r="G6" s="242"/>
    </row>
    <row r="7" spans="1:7" ht="18.75" x14ac:dyDescent="0.25">
      <c r="A7" s="11"/>
      <c r="B7" s="11"/>
      <c r="C7" s="11"/>
      <c r="D7" s="11"/>
      <c r="E7" s="11"/>
      <c r="F7" s="11"/>
      <c r="G7" s="11"/>
    </row>
    <row r="8" spans="1:7" x14ac:dyDescent="0.25">
      <c r="A8" s="243" t="s">
        <v>177</v>
      </c>
      <c r="B8" s="243"/>
      <c r="C8" s="243"/>
      <c r="D8" s="243"/>
      <c r="E8" s="243"/>
      <c r="F8" s="243"/>
      <c r="G8" s="243"/>
    </row>
    <row r="9" spans="1:7" ht="18.75" customHeight="1" x14ac:dyDescent="0.25">
      <c r="A9" s="239" t="s">
        <v>4</v>
      </c>
      <c r="B9" s="239"/>
      <c r="C9" s="239"/>
      <c r="D9" s="239"/>
      <c r="E9" s="239"/>
      <c r="F9" s="239"/>
      <c r="G9" s="239"/>
    </row>
    <row r="10" spans="1:7" ht="18.75" x14ac:dyDescent="0.25">
      <c r="A10" s="11"/>
      <c r="B10" s="11"/>
      <c r="C10" s="11"/>
      <c r="D10" s="11"/>
      <c r="E10" s="11"/>
      <c r="F10" s="11"/>
      <c r="G10" s="11"/>
    </row>
    <row r="11" spans="1:7" x14ac:dyDescent="0.25">
      <c r="A11" s="243" t="str">
        <f>'6.1. Паспорт сетевой график'!A12:J12</f>
        <v>L_Che442_21</v>
      </c>
      <c r="B11" s="243"/>
      <c r="C11" s="243"/>
      <c r="D11" s="243"/>
      <c r="E11" s="243"/>
      <c r="F11" s="243"/>
      <c r="G11" s="243"/>
    </row>
    <row r="12" spans="1:7" x14ac:dyDescent="0.25">
      <c r="A12" s="239" t="s">
        <v>3</v>
      </c>
      <c r="B12" s="239"/>
      <c r="C12" s="239"/>
      <c r="D12" s="239"/>
      <c r="E12" s="239"/>
      <c r="F12" s="239"/>
      <c r="G12" s="239"/>
    </row>
    <row r="13" spans="1:7" ht="16.5" customHeight="1" x14ac:dyDescent="0.25">
      <c r="A13" s="9"/>
      <c r="B13" s="9"/>
      <c r="C13" s="9"/>
      <c r="D13" s="9"/>
      <c r="E13" s="9"/>
      <c r="F13" s="9"/>
      <c r="G13" s="9"/>
    </row>
    <row r="14" spans="1:7" x14ac:dyDescent="0.25">
      <c r="A14" s="243" t="str">
        <f>'6.1. Паспорт сетевой график'!A15:J15</f>
        <v>Приобретение оборудования в рамках Программы подготовки к ОЗП 2020/2021 гг.</v>
      </c>
      <c r="B14" s="243"/>
      <c r="C14" s="243"/>
      <c r="D14" s="243"/>
      <c r="E14" s="243"/>
      <c r="F14" s="243"/>
      <c r="G14" s="243"/>
    </row>
    <row r="15" spans="1:7" ht="15.75" customHeight="1" x14ac:dyDescent="0.25">
      <c r="A15" s="239" t="s">
        <v>2</v>
      </c>
      <c r="B15" s="239"/>
      <c r="C15" s="239"/>
      <c r="D15" s="239"/>
      <c r="E15" s="239"/>
      <c r="F15" s="239"/>
      <c r="G15" s="239"/>
    </row>
    <row r="16" spans="1:7" x14ac:dyDescent="0.25">
      <c r="A16" s="336"/>
      <c r="B16" s="336"/>
      <c r="C16" s="336"/>
      <c r="D16" s="336"/>
      <c r="E16" s="336"/>
      <c r="F16" s="336"/>
      <c r="G16" s="336"/>
    </row>
    <row r="17" spans="1:11" x14ac:dyDescent="0.25">
      <c r="A17" s="39"/>
    </row>
    <row r="18" spans="1:11" x14ac:dyDescent="0.25">
      <c r="A18" s="339" t="s">
        <v>167</v>
      </c>
      <c r="B18" s="339"/>
      <c r="C18" s="339"/>
      <c r="D18" s="339"/>
      <c r="E18" s="339"/>
      <c r="F18" s="339"/>
      <c r="G18" s="339"/>
    </row>
    <row r="19" spans="1:11" x14ac:dyDescent="0.25">
      <c r="A19" s="39"/>
      <c r="B19" s="39"/>
      <c r="C19" s="39"/>
      <c r="D19" s="39"/>
      <c r="E19" s="39"/>
      <c r="F19" s="39"/>
    </row>
    <row r="20" spans="1:11" ht="33" customHeight="1" x14ac:dyDescent="0.25">
      <c r="A20" s="337" t="s">
        <v>88</v>
      </c>
      <c r="B20" s="337" t="s">
        <v>87</v>
      </c>
      <c r="C20" s="334" t="s">
        <v>86</v>
      </c>
      <c r="D20" s="335"/>
      <c r="E20" s="340" t="s">
        <v>85</v>
      </c>
      <c r="F20" s="341"/>
      <c r="G20" s="337" t="s">
        <v>483</v>
      </c>
      <c r="H20" s="325" t="s">
        <v>484</v>
      </c>
      <c r="I20" s="326"/>
      <c r="J20" s="326"/>
      <c r="K20" s="327"/>
    </row>
    <row r="21" spans="1:11" ht="33.75" customHeight="1" x14ac:dyDescent="0.25">
      <c r="A21" s="338"/>
      <c r="B21" s="338"/>
      <c r="C21" s="317"/>
      <c r="D21" s="318"/>
      <c r="E21" s="342"/>
      <c r="F21" s="343"/>
      <c r="G21" s="338"/>
      <c r="H21" s="328" t="s">
        <v>0</v>
      </c>
      <c r="I21" s="329"/>
      <c r="J21" s="328" t="s">
        <v>439</v>
      </c>
      <c r="K21" s="329"/>
    </row>
    <row r="22" spans="1:11" ht="89.25" customHeight="1" x14ac:dyDescent="0.25">
      <c r="A22" s="316"/>
      <c r="B22" s="316"/>
      <c r="C22" s="220" t="s">
        <v>0</v>
      </c>
      <c r="D22" s="220" t="s">
        <v>439</v>
      </c>
      <c r="E22" s="197" t="s">
        <v>485</v>
      </c>
      <c r="F22" s="197" t="s">
        <v>486</v>
      </c>
      <c r="G22" s="316"/>
      <c r="H22" s="51" t="s">
        <v>454</v>
      </c>
      <c r="I22" s="51" t="s">
        <v>455</v>
      </c>
      <c r="J22" s="51" t="s">
        <v>454</v>
      </c>
      <c r="K22" s="51" t="s">
        <v>455</v>
      </c>
    </row>
    <row r="23" spans="1:11" ht="19.5" customHeight="1" x14ac:dyDescent="0.25">
      <c r="A23" s="44">
        <v>1</v>
      </c>
      <c r="B23" s="44">
        <v>2</v>
      </c>
      <c r="C23" s="215">
        <v>3</v>
      </c>
      <c r="D23" s="215">
        <v>4</v>
      </c>
      <c r="E23" s="215">
        <v>5</v>
      </c>
      <c r="F23" s="215">
        <v>6</v>
      </c>
      <c r="G23" s="215">
        <v>7</v>
      </c>
      <c r="H23" s="215">
        <v>8</v>
      </c>
      <c r="I23" s="215">
        <v>9</v>
      </c>
      <c r="J23" s="215">
        <v>10</v>
      </c>
      <c r="K23" s="215">
        <v>11</v>
      </c>
    </row>
    <row r="24" spans="1:11" ht="51" customHeight="1" x14ac:dyDescent="0.25">
      <c r="A24" s="49">
        <v>1</v>
      </c>
      <c r="B24" s="48" t="s">
        <v>84</v>
      </c>
      <c r="C24" s="99" t="str">
        <f>VLOOKUP($A$11,'[1]6.2. отчет'!$D:$K,2,0)</f>
        <v>нд</v>
      </c>
      <c r="D24" s="99">
        <f>VLOOKUP($A$11,'[1]6.2. отчет'!$D:$K,5,0)</f>
        <v>49.895000000000003</v>
      </c>
      <c r="E24" s="99">
        <f>VLOOKUP($A$11,'[1]6.2. отчет'!$D:$K,7,0)</f>
        <v>0</v>
      </c>
      <c r="F24" s="99">
        <f>VLOOKUP($A$11,'[1]6.2. отчет'!$D:$K,8,0)</f>
        <v>0</v>
      </c>
      <c r="G24" s="99">
        <f>VLOOKUP($A$11,'[1]6.2. отчет'!$D:$BL,9,0)</f>
        <v>0</v>
      </c>
      <c r="H24" s="99" t="str">
        <f>VLOOKUP($A$11,'[1]6.2. отчет'!$D:$BL,15,0)</f>
        <v>нд</v>
      </c>
      <c r="I24" s="99" t="str">
        <f>VLOOKUP($A$11,'[1]6.2. отчет'!$D:$CU,45,0)</f>
        <v>нд</v>
      </c>
      <c r="J24" s="99">
        <f>VLOOKUP($A$11,'[1]6.2. отчет'!$D:$BL,56,0)</f>
        <v>0</v>
      </c>
      <c r="K24" s="99">
        <f>VLOOKUP($A$11,'[1]6.2. отчет'!$D:$CU,86,0)</f>
        <v>0</v>
      </c>
    </row>
    <row r="25" spans="1:11" ht="24" customHeight="1" x14ac:dyDescent="0.25">
      <c r="A25" s="46" t="s">
        <v>83</v>
      </c>
      <c r="B25" s="37" t="s">
        <v>82</v>
      </c>
      <c r="C25" s="99" t="str">
        <f>H25</f>
        <v>нд</v>
      </c>
      <c r="D25" s="99">
        <f>G25+J25</f>
        <v>0</v>
      </c>
      <c r="E25" s="99">
        <f>F25+G25</f>
        <v>0</v>
      </c>
      <c r="F25" s="99">
        <f>J25</f>
        <v>0</v>
      </c>
      <c r="G25" s="99">
        <f>VLOOKUP($A$11,'[1]6.2. отчет'!$D:$BL,10,0)</f>
        <v>0</v>
      </c>
      <c r="H25" s="99" t="str">
        <f>VLOOKUP($A$11,'[1]6.2. отчет'!$D:$BL,16,0)</f>
        <v>нд</v>
      </c>
      <c r="I25" s="99" t="str">
        <f>IF(H25=0,0,VLOOKUP($A$11,'[1]6.2. отчет'!$D:$CU,46,0))</f>
        <v>нд</v>
      </c>
      <c r="J25" s="99">
        <f>VLOOKUP($A$11,'[1]6.2. отчет'!$D:$BL,57,0)</f>
        <v>0</v>
      </c>
      <c r="K25" s="99">
        <f>IF(J25=0,0,VLOOKUP($A$11,'[1]6.2. отчет'!$D:$CU,87,0))</f>
        <v>0</v>
      </c>
    </row>
    <row r="26" spans="1:11" x14ac:dyDescent="0.25">
      <c r="A26" s="46" t="s">
        <v>81</v>
      </c>
      <c r="B26" s="37" t="s">
        <v>80</v>
      </c>
      <c r="C26" s="99" t="str">
        <f>H26</f>
        <v>нд</v>
      </c>
      <c r="D26" s="99">
        <f>G26+J26</f>
        <v>0</v>
      </c>
      <c r="E26" s="99">
        <f>F26+G26</f>
        <v>0</v>
      </c>
      <c r="F26" s="99">
        <f>J26</f>
        <v>0</v>
      </c>
      <c r="G26" s="99">
        <f>VLOOKUP($A$11,'[1]6.2. отчет'!$D:$BL,11,0)</f>
        <v>0</v>
      </c>
      <c r="H26" s="99" t="str">
        <f>VLOOKUP($A$11,'[1]6.2. отчет'!$D:$BL,17,0)</f>
        <v>нд</v>
      </c>
      <c r="I26" s="99" t="str">
        <f>IF(H26=0,0,VLOOKUP($A$11,'[1]6.2. отчет'!$D:$CU,47,0))</f>
        <v>нд</v>
      </c>
      <c r="J26" s="99">
        <f>VLOOKUP($A$11,'[1]6.2. отчет'!$D:$BL,58,0)</f>
        <v>0</v>
      </c>
      <c r="K26" s="99">
        <f>IF(J26=0,0,VLOOKUP($A$11,'[1]6.2. отчет'!$D:$CU,88,0))</f>
        <v>0</v>
      </c>
    </row>
    <row r="27" spans="1:11" ht="33.75" customHeight="1" x14ac:dyDescent="0.25">
      <c r="A27" s="46" t="s">
        <v>79</v>
      </c>
      <c r="B27" s="37" t="s">
        <v>146</v>
      </c>
      <c r="C27" s="99" t="str">
        <f>IF(C24="нд","нд",C24-(C29+C28+C26+C25))</f>
        <v>нд</v>
      </c>
      <c r="D27" s="99">
        <f>G27+J27+D24-(G24+J24)</f>
        <v>49.895000000000003</v>
      </c>
      <c r="E27" s="99">
        <f>F27+G27</f>
        <v>0</v>
      </c>
      <c r="F27" s="99">
        <f>F24-(F25+F26+F28+F29)</f>
        <v>0</v>
      </c>
      <c r="G27" s="99">
        <f>VLOOKUP($A$11,'[1]6.2. отчет'!$D:$BL,12,0)</f>
        <v>0</v>
      </c>
      <c r="H27" s="99" t="str">
        <f>VLOOKUP($A$11,'[1]6.2. отчет'!$D:$BL,18,0)</f>
        <v>нд</v>
      </c>
      <c r="I27" s="99" t="str">
        <f>IF(H27=0,0,VLOOKUP($A$11,'[1]6.2. отчет'!$D:$CU,48,0))</f>
        <v>нд</v>
      </c>
      <c r="J27" s="99">
        <f>VLOOKUP($A$11,'[1]6.2. отчет'!$D:$BL,59,0)</f>
        <v>0</v>
      </c>
      <c r="K27" s="99">
        <f>IF(J27=0,0,VLOOKUP($A$11,'[1]6.2. отчет'!$D:$CU,89,0))</f>
        <v>0</v>
      </c>
    </row>
    <row r="28" spans="1:11" ht="18" customHeight="1" x14ac:dyDescent="0.25">
      <c r="A28" s="46" t="s">
        <v>78</v>
      </c>
      <c r="B28" s="37" t="s">
        <v>77</v>
      </c>
      <c r="C28" s="99" t="str">
        <f>H28</f>
        <v>нд</v>
      </c>
      <c r="D28" s="99">
        <f>G28+J28</f>
        <v>0</v>
      </c>
      <c r="E28" s="99">
        <f>F28+G28</f>
        <v>0</v>
      </c>
      <c r="F28" s="99">
        <v>0</v>
      </c>
      <c r="G28" s="99">
        <f>VLOOKUP($A$11,'[1]6.2. отчет'!$D:$BL,13,0)</f>
        <v>0</v>
      </c>
      <c r="H28" s="99" t="str">
        <f>VLOOKUP($A$11,'[1]6.2. отчет'!$D:$BL,19,0)</f>
        <v>нд</v>
      </c>
      <c r="I28" s="99" t="str">
        <f>IF(H28=0,0,VLOOKUP($A$11,'[1]6.2. отчет'!$D:$CU,49,0))</f>
        <v>нд</v>
      </c>
      <c r="J28" s="99">
        <f>VLOOKUP($A$11,'[1]6.2. отчет'!$D:$BL,60,0)</f>
        <v>0</v>
      </c>
      <c r="K28" s="99">
        <f>IF(J28=0,0,VLOOKUP($A$11,'[1]6.2. отчет'!$D:$CU,90,0))</f>
        <v>0</v>
      </c>
    </row>
    <row r="29" spans="1:11" ht="17.25" customHeight="1" x14ac:dyDescent="0.25">
      <c r="A29" s="46" t="s">
        <v>76</v>
      </c>
      <c r="B29" s="50" t="s">
        <v>75</v>
      </c>
      <c r="C29" s="99" t="str">
        <f>H29</f>
        <v>нд</v>
      </c>
      <c r="D29" s="99">
        <f>G29+J29</f>
        <v>0</v>
      </c>
      <c r="E29" s="99">
        <f>F29+G29</f>
        <v>0</v>
      </c>
      <c r="F29" s="99">
        <v>0</v>
      </c>
      <c r="G29" s="99">
        <f>VLOOKUP($A$11,'[1]6.2. отчет'!$D:$BL,14,0)</f>
        <v>0</v>
      </c>
      <c r="H29" s="99" t="str">
        <f>VLOOKUP($A$11,'[1]6.2. отчет'!$D:$BL,20,0)</f>
        <v>нд</v>
      </c>
      <c r="I29" s="99" t="str">
        <f>IF(H29=0,0,VLOOKUP($A$11,'[1]6.2. отчет'!$D:$CU,50,0))</f>
        <v>нд</v>
      </c>
      <c r="J29" s="99">
        <f>VLOOKUP($A$11,'[1]6.2. отчет'!$D:$BL,61,0)</f>
        <v>0</v>
      </c>
      <c r="K29" s="99">
        <f>IF(J29=0,0,VLOOKUP($A$11,'[1]6.2. отчет'!$D:$CU,91,0))</f>
        <v>0</v>
      </c>
    </row>
    <row r="30" spans="1:11" ht="52.5" customHeight="1" x14ac:dyDescent="0.25">
      <c r="A30" s="49" t="s">
        <v>17</v>
      </c>
      <c r="B30" s="48" t="s">
        <v>74</v>
      </c>
      <c r="C30" s="99" t="str">
        <f>VLOOKUP($A$11,'[1]6.2. отчет'!$D:$DB,99,0)</f>
        <v>нд</v>
      </c>
      <c r="D30" s="99">
        <f>VLOOKUP($A$11,'[1]6.2. отчет'!$D:$FK,106,0)</f>
        <v>41.579166659999999</v>
      </c>
      <c r="E30" s="99">
        <f>VLOOKUP($A$11,'[1]6.2. отчет'!$D:$FK,108,0)</f>
        <v>6.6666743236964976E-9</v>
      </c>
      <c r="F30" s="99">
        <f>VLOOKUP($A$11,'[1]6.2. отчет'!$D:$FK,109,0)</f>
        <v>6.6666743236964976E-9</v>
      </c>
      <c r="G30" s="99">
        <f>VLOOKUP($A$11,'[1]6.2. отчет'!$D:$FK,110,0)</f>
        <v>0</v>
      </c>
      <c r="H30" s="99" t="str">
        <f>VLOOKUP($A$11,'[1]6.2. отчет'!$D:$FK,115,0)</f>
        <v>нд</v>
      </c>
      <c r="I30" s="99" t="str">
        <f>VLOOKUP($A$11,'[1]6.2. отчет'!$D:$AGP,124,0)</f>
        <v>нд</v>
      </c>
      <c r="J30" s="99">
        <f>VLOOKUP($A$11,'[1]6.2. отчет'!$D:$FK,130,0)</f>
        <v>0</v>
      </c>
      <c r="K30" s="99">
        <f>VLOOKUP($A$11,'[1]6.2. отчет'!$D:$FK,155,0)</f>
        <v>0</v>
      </c>
    </row>
    <row r="31" spans="1:11" ht="23.25" customHeight="1" x14ac:dyDescent="0.25">
      <c r="A31" s="49" t="s">
        <v>73</v>
      </c>
      <c r="B31" s="37" t="s">
        <v>72</v>
      </c>
      <c r="C31" s="99" t="str">
        <f>VLOOKUP($A$11,'[1]6.2. отчет'!$D:$DB,100,0)</f>
        <v>нд</v>
      </c>
      <c r="D31" s="99">
        <f>G31+J31</f>
        <v>0</v>
      </c>
      <c r="E31" s="99">
        <f>F31+G31</f>
        <v>0</v>
      </c>
      <c r="F31" s="99">
        <v>0</v>
      </c>
      <c r="G31" s="99">
        <f>VLOOKUP($A$11,'[1]6.2. отчет'!$D:$FK,111,0)</f>
        <v>0</v>
      </c>
      <c r="H31" s="99" t="s">
        <v>229</v>
      </c>
      <c r="I31" s="99" t="s">
        <v>229</v>
      </c>
      <c r="J31" s="99">
        <f>VLOOKUP($A$11,'[1]6.2. отчет'!$D:$FK,131,0)</f>
        <v>0</v>
      </c>
      <c r="K31" s="99">
        <f>IF(J31=0,0,VLOOKUP($A$11,'[1]6.2. отчет'!$D:$FK,156,0))</f>
        <v>0</v>
      </c>
    </row>
    <row r="32" spans="1:11" ht="31.5" x14ac:dyDescent="0.25">
      <c r="A32" s="49" t="s">
        <v>71</v>
      </c>
      <c r="B32" s="37" t="s">
        <v>70</v>
      </c>
      <c r="C32" s="99" t="str">
        <f>VLOOKUP($A$11,'[1]6.2. отчет'!$D:$DB,101,0)</f>
        <v>нд</v>
      </c>
      <c r="D32" s="99">
        <f t="shared" ref="D32:D34" si="0">G32+J32</f>
        <v>0</v>
      </c>
      <c r="E32" s="99">
        <f t="shared" ref="E32:E57" si="1">F32+G32</f>
        <v>0</v>
      </c>
      <c r="F32" s="99">
        <v>0</v>
      </c>
      <c r="G32" s="99">
        <f>VLOOKUP($A$11,'[1]6.2. отчет'!$D:$FK,112,0)</f>
        <v>0</v>
      </c>
      <c r="H32" s="99" t="s">
        <v>229</v>
      </c>
      <c r="I32" s="99" t="s">
        <v>229</v>
      </c>
      <c r="J32" s="99">
        <f>VLOOKUP($A$11,'[1]6.2. отчет'!$D:$FK,132,0)</f>
        <v>0</v>
      </c>
      <c r="K32" s="99">
        <f>IF(J32=0,0,VLOOKUP($A$11,'[1]6.2. отчет'!$D:$FK,157,0))</f>
        <v>0</v>
      </c>
    </row>
    <row r="33" spans="1:11" x14ac:dyDescent="0.25">
      <c r="A33" s="49" t="s">
        <v>69</v>
      </c>
      <c r="B33" s="37" t="s">
        <v>68</v>
      </c>
      <c r="C33" s="99" t="str">
        <f>VLOOKUP($A$11,'[1]6.2. отчет'!$D:$DB,102,0)</f>
        <v>нд</v>
      </c>
      <c r="D33" s="99">
        <f>D30</f>
        <v>41.579166659999999</v>
      </c>
      <c r="E33" s="99">
        <f t="shared" si="1"/>
        <v>6.6666743236964976E-9</v>
      </c>
      <c r="F33" s="99">
        <f>F30</f>
        <v>6.6666743236964976E-9</v>
      </c>
      <c r="G33" s="99">
        <f>VLOOKUP($A$11,'[1]6.2. отчет'!$D:$FK,113,0)</f>
        <v>0</v>
      </c>
      <c r="H33" s="99" t="s">
        <v>229</v>
      </c>
      <c r="I33" s="99" t="s">
        <v>229</v>
      </c>
      <c r="J33" s="99">
        <f>VLOOKUP($A$11,'[1]6.2. отчет'!$D:$FK,133,0)</f>
        <v>0</v>
      </c>
      <c r="K33" s="99">
        <f>IF(J33=0,0,VLOOKUP($A$11,'[1]6.2. отчет'!$D:$FK,158,0))</f>
        <v>0</v>
      </c>
    </row>
    <row r="34" spans="1:11" x14ac:dyDescent="0.25">
      <c r="A34" s="49" t="s">
        <v>67</v>
      </c>
      <c r="B34" s="37" t="s">
        <v>66</v>
      </c>
      <c r="C34" s="99" t="str">
        <f>VLOOKUP($A$11,'[1]6.2. отчет'!$D:$DB,103,0)</f>
        <v>нд</v>
      </c>
      <c r="D34" s="99">
        <f t="shared" si="0"/>
        <v>0</v>
      </c>
      <c r="E34" s="99">
        <f t="shared" si="1"/>
        <v>0</v>
      </c>
      <c r="F34" s="99">
        <v>0</v>
      </c>
      <c r="G34" s="99">
        <f>VLOOKUP($A$11,'[1]6.2. отчет'!$D:$FK,114,0)</f>
        <v>0</v>
      </c>
      <c r="H34" s="99" t="s">
        <v>229</v>
      </c>
      <c r="I34" s="99" t="s">
        <v>229</v>
      </c>
      <c r="J34" s="99">
        <f>VLOOKUP($A$11,'[1]6.2. отчет'!$D:$FK,134,0)</f>
        <v>0</v>
      </c>
      <c r="K34" s="99">
        <f>IF(J34=0,0,VLOOKUP($A$11,'[1]6.2. отчет'!$D:$FK,159,0))</f>
        <v>0</v>
      </c>
    </row>
    <row r="35" spans="1:11" ht="33.75" customHeight="1" x14ac:dyDescent="0.25">
      <c r="A35" s="49" t="s">
        <v>16</v>
      </c>
      <c r="B35" s="48" t="s">
        <v>65</v>
      </c>
      <c r="C35" s="99"/>
      <c r="D35" s="99"/>
      <c r="E35" s="99"/>
      <c r="F35" s="99"/>
      <c r="G35" s="99"/>
      <c r="H35" s="99"/>
      <c r="I35" s="196"/>
      <c r="J35" s="99"/>
      <c r="K35" s="196"/>
    </row>
    <row r="36" spans="1:11" ht="31.5" x14ac:dyDescent="0.25">
      <c r="A36" s="46" t="s">
        <v>64</v>
      </c>
      <c r="B36" s="45" t="s">
        <v>63</v>
      </c>
      <c r="C36" s="99" t="s">
        <v>229</v>
      </c>
      <c r="D36" s="99">
        <f t="shared" ref="D36:D63" si="2">G36+J36</f>
        <v>0</v>
      </c>
      <c r="E36" s="99">
        <f t="shared" si="1"/>
        <v>0</v>
      </c>
      <c r="F36" s="99">
        <v>0</v>
      </c>
      <c r="G36" s="99">
        <f>IF('1. паспорт местоположение'!$C$22="Прочие инвестиционные проекты",0,VLOOKUP($A$11,'[1]6.2. отчет'!$D:$GJ,180,0))</f>
        <v>0</v>
      </c>
      <c r="H36" s="99" t="s">
        <v>229</v>
      </c>
      <c r="I36" s="99" t="s">
        <v>229</v>
      </c>
      <c r="J36" s="99">
        <f>IF('1. паспорт местоположение'!$C$22="Прочие инвестиционные проекты",0,VLOOKUP($A$11,'[1]6.2. отчет'!$D:$AGO,257,0))</f>
        <v>0</v>
      </c>
      <c r="K36" s="99">
        <f>IF('1. паспорт местоположение'!$C$22="Прочие инвестиционные проекты",0,VLOOKUP($A$11,'[1]6.2. отчет'!$D:$AGO,312,0))</f>
        <v>0</v>
      </c>
    </row>
    <row r="37" spans="1:11" ht="18" customHeight="1" x14ac:dyDescent="0.25">
      <c r="A37" s="46" t="s">
        <v>62</v>
      </c>
      <c r="B37" s="45" t="s">
        <v>52</v>
      </c>
      <c r="C37" s="99" t="s">
        <v>229</v>
      </c>
      <c r="D37" s="99">
        <f t="shared" si="2"/>
        <v>0</v>
      </c>
      <c r="E37" s="99">
        <f t="shared" si="1"/>
        <v>0</v>
      </c>
      <c r="F37" s="99">
        <v>0</v>
      </c>
      <c r="G37" s="99">
        <f>IF('1. паспорт местоположение'!$C$22="Прочие инвестиционные проекты",0,VLOOKUP($A$11,'[1]6.2. отчет'!$D:$GJ,181,0))</f>
        <v>0</v>
      </c>
      <c r="H37" s="99" t="s">
        <v>229</v>
      </c>
      <c r="I37" s="99" t="s">
        <v>229</v>
      </c>
      <c r="J37" s="99">
        <f>IF('1. паспорт местоположение'!$C$22="Прочие инвестиционные проекты",0,VLOOKUP($A$11,'[1]6.2. отчет'!$D:$AGO,258,0))</f>
        <v>0</v>
      </c>
      <c r="K37" s="99">
        <f>IF('1. паспорт местоположение'!$C$22="Прочие инвестиционные проекты",0,VLOOKUP($A$11,'[1]6.2. отчет'!$D:$AGO,313,0))</f>
        <v>0</v>
      </c>
    </row>
    <row r="38" spans="1:11" x14ac:dyDescent="0.25">
      <c r="A38" s="46" t="s">
        <v>61</v>
      </c>
      <c r="B38" s="45" t="s">
        <v>50</v>
      </c>
      <c r="C38" s="99" t="s">
        <v>229</v>
      </c>
      <c r="D38" s="99">
        <f t="shared" si="2"/>
        <v>0</v>
      </c>
      <c r="E38" s="99">
        <f t="shared" si="1"/>
        <v>0</v>
      </c>
      <c r="F38" s="99">
        <v>0</v>
      </c>
      <c r="G38" s="99">
        <f>IF('1. паспорт местоположение'!$C$22="Прочие инвестиционные проекты",0,VLOOKUP($A$11,'[1]6.2. отчет'!$D:$GJ,182,0))</f>
        <v>0</v>
      </c>
      <c r="H38" s="99" t="s">
        <v>229</v>
      </c>
      <c r="I38" s="99" t="s">
        <v>229</v>
      </c>
      <c r="J38" s="99">
        <f>IF('1. паспорт местоположение'!$C$22="Прочие инвестиционные проекты",0,VLOOKUP($A$11,'[1]6.2. отчет'!$D:$AGO,259,0))</f>
        <v>0</v>
      </c>
      <c r="K38" s="99">
        <f>IF('1. паспорт местоположение'!$C$22="Прочие инвестиционные проекты",0,VLOOKUP($A$11,'[1]6.2. отчет'!$D:$AGO,314,0))</f>
        <v>0</v>
      </c>
    </row>
    <row r="39" spans="1:11" ht="31.5" x14ac:dyDescent="0.25">
      <c r="A39" s="46" t="s">
        <v>60</v>
      </c>
      <c r="B39" s="37" t="s">
        <v>48</v>
      </c>
      <c r="C39" s="99" t="s">
        <v>229</v>
      </c>
      <c r="D39" s="99">
        <f t="shared" si="2"/>
        <v>0</v>
      </c>
      <c r="E39" s="99">
        <f t="shared" si="1"/>
        <v>0</v>
      </c>
      <c r="F39" s="99">
        <v>0</v>
      </c>
      <c r="G39" s="99">
        <f>IF('1. паспорт местоположение'!$C$22="Прочие инвестиционные проекты",0,VLOOKUP($A$11,'[1]6.2. отчет'!$D:$GJ,184,0))</f>
        <v>0</v>
      </c>
      <c r="H39" s="99" t="s">
        <v>229</v>
      </c>
      <c r="I39" s="99" t="s">
        <v>229</v>
      </c>
      <c r="J39" s="99">
        <f>IF('1. паспорт местоположение'!$C$22="Прочие инвестиционные проекты",0,VLOOKUP($A$11,'[1]6.2. отчет'!$D:$AGO,261,0))</f>
        <v>0</v>
      </c>
      <c r="K39" s="99">
        <f>IF('1. паспорт местоположение'!$C$22="Прочие инвестиционные проекты",0,VLOOKUP($A$11,'[1]6.2. отчет'!$D:$AGO,316,0))</f>
        <v>0</v>
      </c>
    </row>
    <row r="40" spans="1:11" ht="31.5" x14ac:dyDescent="0.25">
      <c r="A40" s="46" t="s">
        <v>59</v>
      </c>
      <c r="B40" s="37" t="s">
        <v>46</v>
      </c>
      <c r="C40" s="99" t="s">
        <v>229</v>
      </c>
      <c r="D40" s="99">
        <f t="shared" si="2"/>
        <v>0</v>
      </c>
      <c r="E40" s="99">
        <f t="shared" si="1"/>
        <v>0</v>
      </c>
      <c r="F40" s="99">
        <v>0</v>
      </c>
      <c r="G40" s="99">
        <f>IF('1. паспорт местоположение'!$C$22="Прочие инвестиционные проекты",0,VLOOKUP($A$11,'[1]6.2. отчет'!$D:$GJ,185,0))</f>
        <v>0</v>
      </c>
      <c r="H40" s="99" t="s">
        <v>229</v>
      </c>
      <c r="I40" s="99" t="s">
        <v>229</v>
      </c>
      <c r="J40" s="99">
        <f>IF('1. паспорт местоположение'!$C$22="Прочие инвестиционные проекты",0,VLOOKUP($A$11,'[1]6.2. отчет'!$D:$AGO,262,0))</f>
        <v>0</v>
      </c>
      <c r="K40" s="99">
        <f>IF('1. паспорт местоположение'!$C$22="Прочие инвестиционные проекты",0,VLOOKUP($A$11,'[1]6.2. отчет'!$D:$AGO,317,0))</f>
        <v>0</v>
      </c>
    </row>
    <row r="41" spans="1:11" x14ac:dyDescent="0.25">
      <c r="A41" s="46" t="s">
        <v>58</v>
      </c>
      <c r="B41" s="37" t="s">
        <v>44</v>
      </c>
      <c r="C41" s="99" t="s">
        <v>229</v>
      </c>
      <c r="D41" s="99">
        <f t="shared" si="2"/>
        <v>0</v>
      </c>
      <c r="E41" s="99">
        <f t="shared" si="1"/>
        <v>0</v>
      </c>
      <c r="F41" s="99">
        <v>0</v>
      </c>
      <c r="G41" s="99">
        <f>IF('1. паспорт местоположение'!$C$22="Прочие инвестиционные проекты",0,VLOOKUP($A$11,'[1]6.2. отчет'!$D:$GJ,186,0))</f>
        <v>0</v>
      </c>
      <c r="H41" s="99" t="s">
        <v>229</v>
      </c>
      <c r="I41" s="99" t="s">
        <v>229</v>
      </c>
      <c r="J41" s="99">
        <f>IF('1. паспорт местоположение'!$C$22="Прочие инвестиционные проекты",0,VLOOKUP($A$11,'[1]6.2. отчет'!$D:$AGO,263,0))</f>
        <v>0</v>
      </c>
      <c r="K41" s="99">
        <f>IF('1. паспорт местоположение'!$C$22="Прочие инвестиционные проекты",0,VLOOKUP($A$11,'[1]6.2. отчет'!$D:$AGO,318,0))</f>
        <v>0</v>
      </c>
    </row>
    <row r="42" spans="1:11" x14ac:dyDescent="0.25">
      <c r="A42" s="46" t="s">
        <v>57</v>
      </c>
      <c r="B42" s="195" t="s">
        <v>452</v>
      </c>
      <c r="C42" s="99" t="s">
        <v>229</v>
      </c>
      <c r="D42" s="99">
        <f t="shared" si="2"/>
        <v>0</v>
      </c>
      <c r="E42" s="99">
        <f t="shared" si="1"/>
        <v>0</v>
      </c>
      <c r="F42" s="99">
        <v>0</v>
      </c>
      <c r="G42" s="99">
        <f>IF('1. паспорт местоположение'!$C$22="Прочие инвестиционные проекты",0,VLOOKUP($A$11,'[1]6.2. отчет'!$D:$GJ,189,0))</f>
        <v>0</v>
      </c>
      <c r="H42" s="99" t="s">
        <v>229</v>
      </c>
      <c r="I42" s="99" t="s">
        <v>229</v>
      </c>
      <c r="J42" s="99">
        <f>IF('1. паспорт местоположение'!$C$22="Прочие инвестиционные проекты",0,VLOOKUP($A$11,'[1]6.2. отчет'!$D:$AGO,266,0))</f>
        <v>0</v>
      </c>
      <c r="K42" s="99">
        <f>IF('1. паспорт местоположение'!$C$22="Прочие инвестиционные проекты",0,VLOOKUP($A$11,'[1]6.2. отчет'!$D:$AGO,321,0))</f>
        <v>0</v>
      </c>
    </row>
    <row r="43" spans="1:11" ht="19.5" customHeight="1" x14ac:dyDescent="0.25">
      <c r="A43" s="49" t="s">
        <v>15</v>
      </c>
      <c r="B43" s="48" t="s">
        <v>56</v>
      </c>
      <c r="C43" s="99"/>
      <c r="D43" s="99"/>
      <c r="E43" s="99"/>
      <c r="F43" s="99"/>
      <c r="G43" s="99"/>
      <c r="H43" s="99"/>
      <c r="I43" s="196"/>
      <c r="J43" s="99"/>
      <c r="K43" s="196"/>
    </row>
    <row r="44" spans="1:11" x14ac:dyDescent="0.25">
      <c r="A44" s="46" t="s">
        <v>55</v>
      </c>
      <c r="B44" s="37" t="s">
        <v>54</v>
      </c>
      <c r="C44" s="99" t="str">
        <f>VLOOKUP($A$11,'[1]6.2. отчет'!$D:$FX,168,0)</f>
        <v>нд</v>
      </c>
      <c r="D44" s="99">
        <f t="shared" si="2"/>
        <v>0</v>
      </c>
      <c r="E44" s="99">
        <f t="shared" si="1"/>
        <v>0</v>
      </c>
      <c r="F44" s="99">
        <f>J44</f>
        <v>0</v>
      </c>
      <c r="G44" s="99">
        <f>VLOOKUP($A$11,'[1]6.2. отчет'!$D:$GJ,180,0)</f>
        <v>0</v>
      </c>
      <c r="H44" s="99" t="str">
        <f>VLOOKUP($A$11,'[1]6.2. отчет'!$D:$AGO,191,0)</f>
        <v>нд</v>
      </c>
      <c r="I44" s="99" t="str">
        <f>VLOOKUP($A$11,'[1]6.2. отчет'!$D:$AGO,246,0)</f>
        <v>нд</v>
      </c>
      <c r="J44" s="99">
        <f>VLOOKUP($A$11,'[1]6.2. отчет'!$D:$AGO,257,0)</f>
        <v>0</v>
      </c>
      <c r="K44" s="99">
        <f>VLOOKUP($A$11,'[1]6.2. отчет'!$D:$AGO,312,0)</f>
        <v>0</v>
      </c>
    </row>
    <row r="45" spans="1:11" x14ac:dyDescent="0.25">
      <c r="A45" s="46" t="s">
        <v>53</v>
      </c>
      <c r="B45" s="37" t="s">
        <v>52</v>
      </c>
      <c r="C45" s="99" t="str">
        <f>VLOOKUP($A$11,'[1]6.2. отчет'!$D:$FX,169,0)</f>
        <v>нд</v>
      </c>
      <c r="D45" s="99">
        <f t="shared" si="2"/>
        <v>0</v>
      </c>
      <c r="E45" s="99">
        <f t="shared" si="1"/>
        <v>0</v>
      </c>
      <c r="F45" s="99">
        <f t="shared" ref="F45:F50" si="3">J45</f>
        <v>0</v>
      </c>
      <c r="G45" s="99">
        <f>VLOOKUP($A$11,'[1]6.2. отчет'!$D:$GJ,181,0)</f>
        <v>0</v>
      </c>
      <c r="H45" s="99" t="str">
        <f>VLOOKUP($A$11,'[1]6.2. отчет'!$D:$AGO,192,0)</f>
        <v>нд</v>
      </c>
      <c r="I45" s="99" t="str">
        <f>VLOOKUP($A$11,'[1]6.2. отчет'!$D:$AGO,247,0)</f>
        <v>нд</v>
      </c>
      <c r="J45" s="99">
        <f>VLOOKUP($A$11,'[1]6.2. отчет'!$D:$AGO,258,0)</f>
        <v>0</v>
      </c>
      <c r="K45" s="99">
        <f>VLOOKUP($A$11,'[1]6.2. отчет'!$D:$AGO,313,0)</f>
        <v>0</v>
      </c>
    </row>
    <row r="46" spans="1:11" x14ac:dyDescent="0.25">
      <c r="A46" s="46" t="s">
        <v>51</v>
      </c>
      <c r="B46" s="37" t="s">
        <v>50</v>
      </c>
      <c r="C46" s="99" t="str">
        <f>VLOOKUP($A$11,'[1]6.2. отчет'!$D:$FX,170,0)</f>
        <v>нд</v>
      </c>
      <c r="D46" s="99">
        <f t="shared" si="2"/>
        <v>0</v>
      </c>
      <c r="E46" s="99">
        <f t="shared" si="1"/>
        <v>0</v>
      </c>
      <c r="F46" s="99">
        <f t="shared" si="3"/>
        <v>0</v>
      </c>
      <c r="G46" s="99">
        <f>VLOOKUP($A$11,'[1]6.2. отчет'!$D:$GJ,182,0)</f>
        <v>0</v>
      </c>
      <c r="H46" s="99" t="str">
        <f>VLOOKUP($A$11,'[1]6.2. отчет'!$D:$AGO,193,0)</f>
        <v>нд</v>
      </c>
      <c r="I46" s="99" t="str">
        <f>VLOOKUP($A$11,'[1]6.2. отчет'!$D:$AGO,248,0)</f>
        <v>нд</v>
      </c>
      <c r="J46" s="99">
        <f>VLOOKUP($A$11,'[1]6.2. отчет'!$D:$AGO,259,0)</f>
        <v>0</v>
      </c>
      <c r="K46" s="99">
        <f>VLOOKUP($A$11,'[1]6.2. отчет'!$D:$AGO,314,0)</f>
        <v>0</v>
      </c>
    </row>
    <row r="47" spans="1:11" ht="31.5" x14ac:dyDescent="0.25">
      <c r="A47" s="46" t="s">
        <v>49</v>
      </c>
      <c r="B47" s="37" t="s">
        <v>48</v>
      </c>
      <c r="C47" s="99" t="str">
        <f>VLOOKUP($A$11,'[1]6.2. отчет'!$D:$FX,172,0)</f>
        <v>нд</v>
      </c>
      <c r="D47" s="99">
        <f t="shared" si="2"/>
        <v>0</v>
      </c>
      <c r="E47" s="99">
        <f t="shared" si="1"/>
        <v>0</v>
      </c>
      <c r="F47" s="99">
        <f t="shared" si="3"/>
        <v>0</v>
      </c>
      <c r="G47" s="99">
        <f>VLOOKUP($A$11,'[1]6.2. отчет'!$D:$GJ,184,0)</f>
        <v>0</v>
      </c>
      <c r="H47" s="99" t="str">
        <f>VLOOKUP($A$11,'[1]6.2. отчет'!$D:$AGO,195,0)</f>
        <v>нд</v>
      </c>
      <c r="I47" s="99" t="str">
        <f>VLOOKUP($A$11,'[1]6.2. отчет'!$D:$AGO,250,0)</f>
        <v>нд</v>
      </c>
      <c r="J47" s="99">
        <f>VLOOKUP($A$11,'[1]6.2. отчет'!$D:$AGO,261,0)</f>
        <v>0</v>
      </c>
      <c r="K47" s="99">
        <f>VLOOKUP($A$11,'[1]6.2. отчет'!$D:$AGO,316,0)</f>
        <v>0</v>
      </c>
    </row>
    <row r="48" spans="1:11" ht="31.5" x14ac:dyDescent="0.25">
      <c r="A48" s="46" t="s">
        <v>47</v>
      </c>
      <c r="B48" s="37" t="s">
        <v>46</v>
      </c>
      <c r="C48" s="99" t="str">
        <f>VLOOKUP($A$11,'[1]6.2. отчет'!$D:$FX,173,0)</f>
        <v>нд</v>
      </c>
      <c r="D48" s="99">
        <f t="shared" si="2"/>
        <v>0</v>
      </c>
      <c r="E48" s="99">
        <f t="shared" si="1"/>
        <v>0</v>
      </c>
      <c r="F48" s="99">
        <f t="shared" si="3"/>
        <v>0</v>
      </c>
      <c r="G48" s="99">
        <f>VLOOKUP($A$11,'[1]6.2. отчет'!$D:$GJ,185,0)</f>
        <v>0</v>
      </c>
      <c r="H48" s="99" t="str">
        <f>VLOOKUP($A$11,'[1]6.2. отчет'!$D:$AGO,196,0)</f>
        <v>нд</v>
      </c>
      <c r="I48" s="99" t="str">
        <f>VLOOKUP($A$11,'[1]6.2. отчет'!$D:$AGO,251,0)</f>
        <v>нд</v>
      </c>
      <c r="J48" s="99">
        <f>VLOOKUP($A$11,'[1]6.2. отчет'!$D:$AGO,262,0)</f>
        <v>0</v>
      </c>
      <c r="K48" s="99">
        <f>VLOOKUP($A$11,'[1]6.2. отчет'!$D:$AGO,317,0)</f>
        <v>0</v>
      </c>
    </row>
    <row r="49" spans="1:11" x14ac:dyDescent="0.25">
      <c r="A49" s="46" t="s">
        <v>45</v>
      </c>
      <c r="B49" s="37" t="s">
        <v>44</v>
      </c>
      <c r="C49" s="99" t="str">
        <f>VLOOKUP($A$11,'[1]6.2. отчет'!$D:$FX,174,0)</f>
        <v>нд</v>
      </c>
      <c r="D49" s="99">
        <f t="shared" si="2"/>
        <v>0</v>
      </c>
      <c r="E49" s="99">
        <f t="shared" si="1"/>
        <v>0</v>
      </c>
      <c r="F49" s="99">
        <f t="shared" si="3"/>
        <v>0</v>
      </c>
      <c r="G49" s="99">
        <f>VLOOKUP($A$11,'[1]6.2. отчет'!$D:$GJ,186,0)</f>
        <v>0</v>
      </c>
      <c r="H49" s="99" t="str">
        <f>VLOOKUP($A$11,'[1]6.2. отчет'!$D:$AGO,197,0)</f>
        <v>нд</v>
      </c>
      <c r="I49" s="99" t="str">
        <f>VLOOKUP($A$11,'[1]6.2. отчет'!$D:$AGO,252,0)</f>
        <v>нд</v>
      </c>
      <c r="J49" s="99">
        <f>VLOOKUP($A$11,'[1]6.2. отчет'!$D:$AGO,263,0)</f>
        <v>0</v>
      </c>
      <c r="K49" s="99">
        <f>VLOOKUP($A$11,'[1]6.2. отчет'!$D:$AGO,318,0)</f>
        <v>0</v>
      </c>
    </row>
    <row r="50" spans="1:11" x14ac:dyDescent="0.25">
      <c r="A50" s="46" t="s">
        <v>43</v>
      </c>
      <c r="B50" s="195" t="s">
        <v>452</v>
      </c>
      <c r="C50" s="99" t="str">
        <f>VLOOKUP($A$11,'[1]6.2. отчет'!$D:$FX,177,0)</f>
        <v>нд</v>
      </c>
      <c r="D50" s="99">
        <f t="shared" si="2"/>
        <v>3</v>
      </c>
      <c r="E50" s="99">
        <f t="shared" si="1"/>
        <v>3</v>
      </c>
      <c r="F50" s="99">
        <f t="shared" si="3"/>
        <v>1</v>
      </c>
      <c r="G50" s="99">
        <f>VLOOKUP($A$11,'[1]6.2. отчет'!$D:$GJ,189,0)</f>
        <v>2</v>
      </c>
      <c r="H50" s="99" t="str">
        <f>VLOOKUP($A$11,'[1]6.2. отчет'!$D:$AGO,200,0)</f>
        <v>нд</v>
      </c>
      <c r="I50" s="99" t="str">
        <f>VLOOKUP($A$11,'[1]6.2. отчет'!$D:$AGO,255,0)</f>
        <v>нд</v>
      </c>
      <c r="J50" s="99">
        <f>VLOOKUP($A$11,'[1]6.2. отчет'!$D:$AGO,266,0)</f>
        <v>1</v>
      </c>
      <c r="K50" s="99">
        <f>VLOOKUP($A$11,'[1]6.2. отчет'!$D:$AGO,321,0)</f>
        <v>0</v>
      </c>
    </row>
    <row r="51" spans="1:11" ht="35.25" customHeight="1" x14ac:dyDescent="0.25">
      <c r="A51" s="49" t="s">
        <v>13</v>
      </c>
      <c r="B51" s="48" t="s">
        <v>42</v>
      </c>
      <c r="C51" s="99"/>
      <c r="D51" s="99"/>
      <c r="E51" s="99"/>
      <c r="F51" s="99"/>
      <c r="G51" s="99"/>
      <c r="H51" s="99"/>
      <c r="I51" s="196"/>
      <c r="J51" s="99"/>
      <c r="K51" s="196"/>
    </row>
    <row r="52" spans="1:11" x14ac:dyDescent="0.25">
      <c r="A52" s="46" t="s">
        <v>41</v>
      </c>
      <c r="B52" s="48" t="s">
        <v>40</v>
      </c>
      <c r="C52" s="99" t="str">
        <f>VLOOKUP($A$11,'[1]6.2. отчет'!$D:$FX,167,0)</f>
        <v>нд</v>
      </c>
      <c r="D52" s="99">
        <f t="shared" si="2"/>
        <v>20.789583329999999</v>
      </c>
      <c r="E52" s="99">
        <f t="shared" si="1"/>
        <v>20.789583329999999</v>
      </c>
      <c r="F52" s="99">
        <f>J52</f>
        <v>6.92986111</v>
      </c>
      <c r="G52" s="99">
        <f>VLOOKUP($A$11,'[1]6.2. отчет'!$D:$GJ,179,0)</f>
        <v>13.85972222</v>
      </c>
      <c r="H52" s="99" t="str">
        <f>VLOOKUP($A$11,'[1]6.2. отчет'!$D:$AGO,190,0)</f>
        <v>нд</v>
      </c>
      <c r="I52" s="99" t="str">
        <f>VLOOKUP($A$11,'[1]6.2. отчет'!$D:$AGO,245,0)</f>
        <v>нд</v>
      </c>
      <c r="J52" s="99">
        <f>VLOOKUP($A$11,'[1]6.2. отчет'!$D:$AGO,256,0)</f>
        <v>6.92986111</v>
      </c>
      <c r="K52" s="99">
        <f>VLOOKUP($A$11,'[1]6.2. отчет'!$D:$AGO,311,0)</f>
        <v>0</v>
      </c>
    </row>
    <row r="53" spans="1:11" x14ac:dyDescent="0.25">
      <c r="A53" s="46" t="s">
        <v>39</v>
      </c>
      <c r="B53" s="37" t="s">
        <v>33</v>
      </c>
      <c r="C53" s="99" t="str">
        <f>VLOOKUP($A$11,'[1]6.2. отчет'!$D:$FX,168,0)</f>
        <v>нд</v>
      </c>
      <c r="D53" s="99">
        <f t="shared" si="2"/>
        <v>0</v>
      </c>
      <c r="E53" s="99">
        <f t="shared" si="1"/>
        <v>0</v>
      </c>
      <c r="F53" s="99">
        <f t="shared" ref="F53:F57" si="4">J53</f>
        <v>0</v>
      </c>
      <c r="G53" s="99">
        <f>VLOOKUP($A$11,'[1]6.2. отчет'!$D:$GJ,180,0)</f>
        <v>0</v>
      </c>
      <c r="H53" s="99" t="str">
        <f>VLOOKUP($A$11,'[1]6.2. отчет'!$D:$AGO,191,0)</f>
        <v>нд</v>
      </c>
      <c r="I53" s="99" t="str">
        <f>VLOOKUP($A$11,'[1]6.2. отчет'!$D:$AGO,246,0)</f>
        <v>нд</v>
      </c>
      <c r="J53" s="99">
        <f>VLOOKUP($A$11,'[1]6.2. отчет'!$D:$AGO,257,0)</f>
        <v>0</v>
      </c>
      <c r="K53" s="99">
        <f>VLOOKUP($A$11,'[1]6.2. отчет'!$D:$AGO,312,0)</f>
        <v>0</v>
      </c>
    </row>
    <row r="54" spans="1:11" x14ac:dyDescent="0.25">
      <c r="A54" s="46" t="s">
        <v>38</v>
      </c>
      <c r="B54" s="45" t="s">
        <v>32</v>
      </c>
      <c r="C54" s="99" t="str">
        <f>VLOOKUP($A$11,'[1]6.2. отчет'!$D:$FX,169,0)</f>
        <v>нд</v>
      </c>
      <c r="D54" s="99">
        <f t="shared" si="2"/>
        <v>0</v>
      </c>
      <c r="E54" s="99">
        <f t="shared" si="1"/>
        <v>0</v>
      </c>
      <c r="F54" s="99">
        <f t="shared" si="4"/>
        <v>0</v>
      </c>
      <c r="G54" s="99">
        <f>VLOOKUP($A$11,'[1]6.2. отчет'!$D:$GJ,181,0)</f>
        <v>0</v>
      </c>
      <c r="H54" s="99" t="str">
        <f>VLOOKUP($A$11,'[1]6.2. отчет'!$D:$AGO,192,0)</f>
        <v>нд</v>
      </c>
      <c r="I54" s="99" t="str">
        <f>VLOOKUP($A$11,'[1]6.2. отчет'!$D:$AGO,247,0)</f>
        <v>нд</v>
      </c>
      <c r="J54" s="99">
        <f>VLOOKUP($A$11,'[1]6.2. отчет'!$D:$AGO,258,0)</f>
        <v>0</v>
      </c>
      <c r="K54" s="99">
        <f>VLOOKUP($A$11,'[1]6.2. отчет'!$D:$AGO,313,0)</f>
        <v>0</v>
      </c>
    </row>
    <row r="55" spans="1:11" x14ac:dyDescent="0.25">
      <c r="A55" s="46" t="s">
        <v>37</v>
      </c>
      <c r="B55" s="45" t="s">
        <v>31</v>
      </c>
      <c r="C55" s="99" t="str">
        <f>VLOOKUP($A$11,'[1]6.2. отчет'!$D:$FX,170,0)</f>
        <v>нд</v>
      </c>
      <c r="D55" s="99">
        <f t="shared" si="2"/>
        <v>0</v>
      </c>
      <c r="E55" s="99">
        <f t="shared" si="1"/>
        <v>0</v>
      </c>
      <c r="F55" s="99">
        <f t="shared" si="4"/>
        <v>0</v>
      </c>
      <c r="G55" s="99">
        <f>VLOOKUP($A$11,'[1]6.2. отчет'!$D:$GJ,182,0)</f>
        <v>0</v>
      </c>
      <c r="H55" s="99" t="str">
        <f>VLOOKUP($A$11,'[1]6.2. отчет'!$D:$AGO,193,0)</f>
        <v>нд</v>
      </c>
      <c r="I55" s="99" t="str">
        <f>VLOOKUP($A$11,'[1]6.2. отчет'!$D:$AGO,248,0)</f>
        <v>нд</v>
      </c>
      <c r="J55" s="99">
        <f>VLOOKUP($A$11,'[1]6.2. отчет'!$D:$AGO,259,0)</f>
        <v>0</v>
      </c>
      <c r="K55" s="99">
        <f>VLOOKUP($A$11,'[1]6.2. отчет'!$D:$AGO,314,0)</f>
        <v>0</v>
      </c>
    </row>
    <row r="56" spans="1:11" x14ac:dyDescent="0.25">
      <c r="A56" s="46" t="s">
        <v>36</v>
      </c>
      <c r="B56" s="45" t="s">
        <v>30</v>
      </c>
      <c r="C56" s="99" t="str">
        <f>VLOOKUP($A$11,'[1]6.2. отчет'!$D:$FX,171,0)</f>
        <v>нд</v>
      </c>
      <c r="D56" s="99">
        <f t="shared" si="2"/>
        <v>0</v>
      </c>
      <c r="E56" s="99">
        <f t="shared" si="1"/>
        <v>0</v>
      </c>
      <c r="F56" s="99">
        <f t="shared" si="4"/>
        <v>0</v>
      </c>
      <c r="G56" s="99">
        <f>VLOOKUP($A$11,'[1]6.2. отчет'!$D:$GJ,183,0)</f>
        <v>0</v>
      </c>
      <c r="H56" s="99" t="str">
        <f>VLOOKUP($A$11,'[1]6.2. отчет'!$D:$AGO,194,0)</f>
        <v>нд</v>
      </c>
      <c r="I56" s="99" t="str">
        <f>VLOOKUP($A$11,'[1]6.2. отчет'!$D:$AGO,249,0)</f>
        <v>нд</v>
      </c>
      <c r="J56" s="99">
        <f>VLOOKUP($A$11,'[1]6.2. отчет'!$D:$AGO,260,0)</f>
        <v>0</v>
      </c>
      <c r="K56" s="99">
        <f>VLOOKUP($A$11,'[1]6.2. отчет'!$D:$AGO,315,0)</f>
        <v>0</v>
      </c>
    </row>
    <row r="57" spans="1:11" x14ac:dyDescent="0.25">
      <c r="A57" s="46" t="s">
        <v>35</v>
      </c>
      <c r="B57" s="195" t="s">
        <v>452</v>
      </c>
      <c r="C57" s="99" t="str">
        <f>VLOOKUP($A$11,'[1]6.2. отчет'!$D:$FX,177,0)</f>
        <v>нд</v>
      </c>
      <c r="D57" s="99">
        <f t="shared" si="2"/>
        <v>3</v>
      </c>
      <c r="E57" s="99">
        <f t="shared" si="1"/>
        <v>3</v>
      </c>
      <c r="F57" s="99">
        <f t="shared" si="4"/>
        <v>1</v>
      </c>
      <c r="G57" s="99">
        <f>VLOOKUP($A$11,'[1]6.2. отчет'!$D:$GJ,189,0)</f>
        <v>2</v>
      </c>
      <c r="H57" s="99" t="str">
        <f>VLOOKUP($A$11,'[1]6.2. отчет'!$D:$AGO,200,0)</f>
        <v>нд</v>
      </c>
      <c r="I57" s="99" t="str">
        <f>VLOOKUP($A$11,'[1]6.2. отчет'!$D:$AGO,255,0)</f>
        <v>нд</v>
      </c>
      <c r="J57" s="99">
        <f>VLOOKUP($A$11,'[1]6.2. отчет'!$D:$AGO,266,0)</f>
        <v>1</v>
      </c>
      <c r="K57" s="99">
        <f>VLOOKUP($A$11,'[1]6.2. отчет'!$D:$AGO,321,0)</f>
        <v>0</v>
      </c>
    </row>
    <row r="58" spans="1:11" ht="36.75" customHeight="1" x14ac:dyDescent="0.25">
      <c r="A58" s="49" t="s">
        <v>12</v>
      </c>
      <c r="B58" s="53" t="s">
        <v>95</v>
      </c>
      <c r="C58" s="99"/>
      <c r="D58" s="99"/>
      <c r="E58" s="99"/>
      <c r="F58" s="99"/>
      <c r="G58" s="99"/>
      <c r="H58" s="99"/>
      <c r="I58" s="196"/>
      <c r="J58" s="99"/>
      <c r="K58" s="196"/>
    </row>
    <row r="59" spans="1:11" x14ac:dyDescent="0.25">
      <c r="A59" s="49" t="s">
        <v>10</v>
      </c>
      <c r="B59" s="48" t="s">
        <v>34</v>
      </c>
      <c r="C59" s="99"/>
      <c r="D59" s="99"/>
      <c r="E59" s="99"/>
      <c r="F59" s="99"/>
      <c r="G59" s="99"/>
      <c r="H59" s="99"/>
      <c r="I59" s="196"/>
      <c r="J59" s="99"/>
      <c r="K59" s="196"/>
    </row>
    <row r="60" spans="1:11" x14ac:dyDescent="0.25">
      <c r="A60" s="46" t="s">
        <v>89</v>
      </c>
      <c r="B60" s="47" t="s">
        <v>54</v>
      </c>
      <c r="C60" s="99" t="str">
        <f>VLOOKUP($A$11,'[1]6.2. отчет'!$D:$AGO,326,0)</f>
        <v>нд</v>
      </c>
      <c r="D60" s="99">
        <f t="shared" si="2"/>
        <v>0</v>
      </c>
      <c r="E60" s="99">
        <f>F60+G60</f>
        <v>0</v>
      </c>
      <c r="F60" s="99">
        <v>0</v>
      </c>
      <c r="G60" s="99">
        <f>VLOOKUP($A$11,'[1]6.2. отчет'!$D:$AGO,333,0)</f>
        <v>0</v>
      </c>
      <c r="H60" s="99" t="str">
        <f>VLOOKUP($A$11,'[1]6.2. отчет'!$D:$AGO,341,0)</f>
        <v>нд</v>
      </c>
      <c r="I60" s="99" t="str">
        <f>VLOOKUP($A$11,'[1]6.2. отчет'!$D:$AGO,366,0)</f>
        <v>нд</v>
      </c>
      <c r="J60" s="99">
        <f>VLOOKUP($A$11,'[1]6.2. отчет'!$D:$AGO,371,0)</f>
        <v>0</v>
      </c>
      <c r="K60" s="99">
        <f>VLOOKUP($A$11,'[1]6.2. отчет'!$D:$AGO,396,0)</f>
        <v>0</v>
      </c>
    </row>
    <row r="61" spans="1:11" x14ac:dyDescent="0.25">
      <c r="A61" s="46" t="s">
        <v>90</v>
      </c>
      <c r="B61" s="47" t="s">
        <v>52</v>
      </c>
      <c r="C61" s="99" t="str">
        <f>VLOOKUP($A$11,'[1]6.2. отчет'!$D:$AGO,327,0)</f>
        <v>нд</v>
      </c>
      <c r="D61" s="99">
        <f t="shared" si="2"/>
        <v>0</v>
      </c>
      <c r="E61" s="99">
        <f>F61+G61</f>
        <v>0</v>
      </c>
      <c r="F61" s="99">
        <v>0</v>
      </c>
      <c r="G61" s="99">
        <f>VLOOKUP($A$11,'[1]6.2. отчет'!$D:$AGO,334,0)</f>
        <v>0</v>
      </c>
      <c r="H61" s="99" t="str">
        <f>VLOOKUP($A$11,'[1]6.2. отчет'!$D:$AGO,338,0)</f>
        <v>нд</v>
      </c>
      <c r="I61" s="99" t="str">
        <f>VLOOKUP($A$11,'[1]6.2. отчет'!$D:$AGO,363,0)</f>
        <v>нд</v>
      </c>
      <c r="J61" s="99">
        <f>VLOOKUP($A$11,'[1]6.2. отчет'!$D:$AGO,368,0)</f>
        <v>0</v>
      </c>
      <c r="K61" s="99">
        <f>VLOOKUP($A$11,'[1]6.2. отчет'!$D:$AGO,393,0)</f>
        <v>0</v>
      </c>
    </row>
    <row r="62" spans="1:11" x14ac:dyDescent="0.25">
      <c r="A62" s="46" t="s">
        <v>91</v>
      </c>
      <c r="B62" s="47" t="s">
        <v>50</v>
      </c>
      <c r="C62" s="99" t="str">
        <f>VLOOKUP($A$11,'[1]6.2. отчет'!$D:$AGO,328,0)</f>
        <v>нд</v>
      </c>
      <c r="D62" s="99">
        <f t="shared" si="2"/>
        <v>0</v>
      </c>
      <c r="E62" s="99">
        <f>F62+G62</f>
        <v>0</v>
      </c>
      <c r="F62" s="99">
        <v>0</v>
      </c>
      <c r="G62" s="99">
        <f>VLOOKUP($A$11,'[1]6.2. отчет'!$D:$AGO,335,0)</f>
        <v>0</v>
      </c>
      <c r="H62" s="99" t="str">
        <f>VLOOKUP($A$11,'[1]6.2. отчет'!$D:$AGO,339,0)</f>
        <v>нд</v>
      </c>
      <c r="I62" s="99" t="str">
        <f>VLOOKUP($A$11,'[1]6.2. отчет'!$D:$AGO,364,0)</f>
        <v>нд</v>
      </c>
      <c r="J62" s="99">
        <f>VLOOKUP($A$11,'[1]6.2. отчет'!$D:$AGO,369,0)</f>
        <v>0</v>
      </c>
      <c r="K62" s="99">
        <f>VLOOKUP($A$11,'[1]6.2. отчет'!$D:$AGO,394,0)</f>
        <v>0</v>
      </c>
    </row>
    <row r="63" spans="1:11" x14ac:dyDescent="0.25">
      <c r="A63" s="46" t="s">
        <v>92</v>
      </c>
      <c r="B63" s="47" t="s">
        <v>94</v>
      </c>
      <c r="C63" s="99" t="str">
        <f>VLOOKUP($A$11,'[1]6.2. отчет'!$D:$AGO,329,0)</f>
        <v>нд</v>
      </c>
      <c r="D63" s="99">
        <f t="shared" si="2"/>
        <v>0</v>
      </c>
      <c r="E63" s="99">
        <f>F63+G63</f>
        <v>0</v>
      </c>
      <c r="F63" s="99">
        <v>0</v>
      </c>
      <c r="G63" s="99">
        <f>VLOOKUP($A$11,'[1]6.2. отчет'!$D:$AGO,336,0)</f>
        <v>0</v>
      </c>
      <c r="H63" s="99" t="str">
        <f>VLOOKUP($A$11,'[1]6.2. отчет'!$D:$AGO,340,0)</f>
        <v>нд</v>
      </c>
      <c r="I63" s="99" t="str">
        <f>VLOOKUP($A$11,'[1]6.2. отчет'!$D:$AGO,365,0)</f>
        <v>нд</v>
      </c>
      <c r="J63" s="99">
        <f>VLOOKUP($A$11,'[1]6.2. отчет'!$D:$AGO,370,0)</f>
        <v>0</v>
      </c>
      <c r="K63" s="99">
        <f>VLOOKUP($A$11,'[1]6.2. отчет'!$D:$AGO,395,0)</f>
        <v>0</v>
      </c>
    </row>
    <row r="64" spans="1:11" ht="18.75" x14ac:dyDescent="0.25">
      <c r="A64" s="46" t="s">
        <v>93</v>
      </c>
      <c r="B64" s="45" t="s">
        <v>29</v>
      </c>
      <c r="C64" s="99" t="str">
        <f>VLOOKUP($A$11,'[1]6.2. отчет'!$D:$AGO,330,0)</f>
        <v>нд</v>
      </c>
      <c r="D64" s="99">
        <f>G64+J64</f>
        <v>0</v>
      </c>
      <c r="E64" s="99">
        <f>F64+G64</f>
        <v>0</v>
      </c>
      <c r="F64" s="99">
        <v>0</v>
      </c>
      <c r="G64" s="99">
        <f>VLOOKUP($A$11,'[1]6.2. отчет'!$D:$AGO,337,0)</f>
        <v>0</v>
      </c>
      <c r="H64" s="99" t="str">
        <f>VLOOKUP($A$11,'[1]6.2. отчет'!$D:$AGO,342,0)</f>
        <v>нд</v>
      </c>
      <c r="I64" s="99" t="str">
        <f>VLOOKUP($A$11,'[1]6.2. отчет'!$D:$AGO,367,0)</f>
        <v>нд</v>
      </c>
      <c r="J64" s="99">
        <f>VLOOKUP($A$11,'[1]6.2. отчет'!$D:$AGO,372,0)</f>
        <v>0</v>
      </c>
      <c r="K64" s="99">
        <f>VLOOKUP($A$11,'[1]6.2. отчет'!$D:$AGO,396,0)</f>
        <v>0</v>
      </c>
    </row>
    <row r="65" spans="1:7" x14ac:dyDescent="0.25">
      <c r="A65" s="39"/>
      <c r="B65" s="39"/>
      <c r="C65" s="39"/>
      <c r="D65" s="39"/>
      <c r="E65" s="39"/>
      <c r="F65" s="39"/>
    </row>
    <row r="66" spans="1:7" ht="50.25" customHeight="1" x14ac:dyDescent="0.25">
      <c r="A66" s="39"/>
      <c r="B66" s="332"/>
      <c r="C66" s="332"/>
      <c r="D66" s="332"/>
      <c r="E66" s="332"/>
      <c r="F66" s="332"/>
      <c r="G66" s="332"/>
    </row>
    <row r="67" spans="1:7" x14ac:dyDescent="0.25">
      <c r="A67" s="39"/>
      <c r="B67" s="39"/>
      <c r="C67" s="39"/>
      <c r="D67" s="39"/>
      <c r="E67" s="39"/>
      <c r="F67" s="39"/>
    </row>
    <row r="68" spans="1:7" ht="36.75" customHeight="1" x14ac:dyDescent="0.25">
      <c r="A68" s="39"/>
      <c r="B68" s="333"/>
      <c r="C68" s="333"/>
      <c r="D68" s="333"/>
      <c r="E68" s="333"/>
      <c r="F68" s="333"/>
      <c r="G68" s="333"/>
    </row>
    <row r="69" spans="1:7" x14ac:dyDescent="0.25">
      <c r="A69" s="39"/>
      <c r="B69" s="42"/>
      <c r="C69" s="42"/>
      <c r="D69" s="42"/>
      <c r="E69" s="42"/>
      <c r="F69" s="42"/>
    </row>
    <row r="70" spans="1:7" ht="51" customHeight="1" x14ac:dyDescent="0.25">
      <c r="A70" s="39"/>
      <c r="B70" s="333"/>
      <c r="C70" s="333"/>
      <c r="D70" s="333"/>
      <c r="E70" s="333"/>
      <c r="F70" s="333"/>
      <c r="G70" s="333"/>
    </row>
    <row r="71" spans="1:7" ht="32.25" customHeight="1" x14ac:dyDescent="0.25">
      <c r="A71" s="39"/>
      <c r="B71" s="332"/>
      <c r="C71" s="332"/>
      <c r="D71" s="332"/>
      <c r="E71" s="332"/>
      <c r="F71" s="332"/>
      <c r="G71" s="332"/>
    </row>
    <row r="72" spans="1:7" ht="51.75" customHeight="1" x14ac:dyDescent="0.25">
      <c r="A72" s="39"/>
      <c r="B72" s="333"/>
      <c r="C72" s="333"/>
      <c r="D72" s="333"/>
      <c r="E72" s="333"/>
      <c r="F72" s="333"/>
      <c r="G72" s="333"/>
    </row>
    <row r="73" spans="1:7" ht="21.75" customHeight="1" x14ac:dyDescent="0.25">
      <c r="A73" s="39"/>
      <c r="B73" s="330"/>
      <c r="C73" s="330"/>
      <c r="D73" s="330"/>
      <c r="E73" s="330"/>
      <c r="F73" s="330"/>
      <c r="G73" s="330"/>
    </row>
    <row r="74" spans="1:7" ht="23.25" customHeight="1" x14ac:dyDescent="0.25">
      <c r="A74" s="39"/>
      <c r="B74" s="40"/>
      <c r="C74" s="40"/>
      <c r="D74" s="40"/>
      <c r="E74" s="40"/>
      <c r="F74" s="40"/>
    </row>
    <row r="75" spans="1:7" ht="18.75" customHeight="1" x14ac:dyDescent="0.25">
      <c r="A75" s="39"/>
      <c r="B75" s="331"/>
      <c r="C75" s="331"/>
      <c r="D75" s="331"/>
      <c r="E75" s="331"/>
      <c r="F75" s="331"/>
      <c r="G75" s="331"/>
    </row>
    <row r="76" spans="1:7" x14ac:dyDescent="0.25">
      <c r="A76" s="39"/>
      <c r="B76" s="39"/>
      <c r="C76" s="39"/>
      <c r="D76" s="39"/>
      <c r="E76" s="39"/>
      <c r="F76" s="39"/>
    </row>
    <row r="77" spans="1:7" x14ac:dyDescent="0.25">
      <c r="A77" s="39"/>
      <c r="B77" s="39"/>
      <c r="C77" s="39"/>
      <c r="D77" s="39"/>
      <c r="E77" s="39"/>
      <c r="F77" s="39"/>
    </row>
    <row r="78" spans="1:7" x14ac:dyDescent="0.25">
      <c r="G78" s="38"/>
    </row>
    <row r="79" spans="1:7" x14ac:dyDescent="0.25">
      <c r="G79" s="38"/>
    </row>
    <row r="80" spans="1:7" x14ac:dyDescent="0.25">
      <c r="G80" s="38"/>
    </row>
    <row r="81" spans="7:7" x14ac:dyDescent="0.25">
      <c r="G81" s="38"/>
    </row>
    <row r="82" spans="7:7" x14ac:dyDescent="0.25">
      <c r="G82" s="38"/>
    </row>
    <row r="83" spans="7:7" x14ac:dyDescent="0.25">
      <c r="G83" s="38"/>
    </row>
    <row r="84" spans="7:7" x14ac:dyDescent="0.25">
      <c r="G84" s="38"/>
    </row>
    <row r="85" spans="7:7" x14ac:dyDescent="0.25">
      <c r="G85" s="38"/>
    </row>
    <row r="86" spans="7:7" x14ac:dyDescent="0.25">
      <c r="G86" s="38"/>
    </row>
    <row r="87" spans="7:7" x14ac:dyDescent="0.25">
      <c r="G87" s="38"/>
    </row>
    <row r="88" spans="7:7" x14ac:dyDescent="0.25">
      <c r="G88" s="38"/>
    </row>
    <row r="89" spans="7:7" x14ac:dyDescent="0.25">
      <c r="G89" s="38"/>
    </row>
    <row r="90" spans="7:7" x14ac:dyDescent="0.25">
      <c r="G90" s="38"/>
    </row>
  </sheetData>
  <mergeCells count="25">
    <mergeCell ref="A4:G4"/>
    <mergeCell ref="A12:G12"/>
    <mergeCell ref="A9:G9"/>
    <mergeCell ref="A11:G11"/>
    <mergeCell ref="A8:G8"/>
    <mergeCell ref="A6:G6"/>
    <mergeCell ref="A14:G14"/>
    <mergeCell ref="C20:D21"/>
    <mergeCell ref="A16:G16"/>
    <mergeCell ref="A15:G15"/>
    <mergeCell ref="A20:A22"/>
    <mergeCell ref="A18:G18"/>
    <mergeCell ref="E20:F21"/>
    <mergeCell ref="B20:B22"/>
    <mergeCell ref="G20:G22"/>
    <mergeCell ref="H20:K20"/>
    <mergeCell ref="H21:I21"/>
    <mergeCell ref="J21:K21"/>
    <mergeCell ref="B73:G73"/>
    <mergeCell ref="B75:G75"/>
    <mergeCell ref="B66:G66"/>
    <mergeCell ref="B68:G68"/>
    <mergeCell ref="B70:G70"/>
    <mergeCell ref="B71:G71"/>
    <mergeCell ref="B72:G7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opLeftCell="A13" zoomScale="75" zoomScaleNormal="85" workbookViewId="0">
      <selection activeCell="S45" sqref="S45"/>
    </sheetView>
  </sheetViews>
  <sheetFormatPr defaultColWidth="9.140625" defaultRowHeight="15" x14ac:dyDescent="0.25"/>
  <cols>
    <col min="1" max="22" width="9.140625" style="188"/>
    <col min="23" max="23" width="29.28515625" style="188" customWidth="1"/>
    <col min="24" max="24" width="18.85546875" style="188" customWidth="1"/>
    <col min="25" max="25" width="27.42578125" style="188" customWidth="1"/>
    <col min="26" max="26" width="9.140625" style="188"/>
    <col min="27" max="27" width="14.7109375" style="188" customWidth="1"/>
    <col min="28" max="28" width="15" style="188" customWidth="1"/>
    <col min="29" max="29" width="9.140625" style="188"/>
    <col min="30" max="31" width="12" style="188" customWidth="1"/>
    <col min="32" max="33" width="9.140625" style="188"/>
    <col min="34" max="37" width="16" style="188" customWidth="1"/>
    <col min="38" max="41" width="9.140625" style="188"/>
    <col min="42" max="47" width="12" style="188" customWidth="1"/>
    <col min="48" max="16384" width="9.140625" style="188"/>
  </cols>
  <sheetData>
    <row r="1" spans="1:48" ht="18.75" x14ac:dyDescent="0.25">
      <c r="AV1" s="33" t="s">
        <v>22</v>
      </c>
    </row>
    <row r="2" spans="1:48" ht="18.75" x14ac:dyDescent="0.3">
      <c r="AV2" s="13" t="s">
        <v>6</v>
      </c>
    </row>
    <row r="3" spans="1:48" ht="18.75" x14ac:dyDescent="0.3">
      <c r="AV3" s="13" t="s">
        <v>21</v>
      </c>
    </row>
    <row r="4" spans="1:48" s="190" customFormat="1" ht="18.75" x14ac:dyDescent="0.3">
      <c r="A4" s="189"/>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50"/>
    </row>
    <row r="5" spans="1:48" s="190" customFormat="1" ht="15.75" x14ac:dyDescent="0.25">
      <c r="A5" s="247" t="str">
        <f>'6.1. Паспорт сетевой график'!A5:J5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s="190" customFormat="1" ht="18.75" x14ac:dyDescent="0.3">
      <c r="A6" s="189"/>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89"/>
      <c r="AR6" s="189"/>
      <c r="AS6" s="189"/>
      <c r="AT6" s="189"/>
      <c r="AU6" s="189"/>
      <c r="AV6" s="150"/>
    </row>
    <row r="7" spans="1:48" s="190" customFormat="1" ht="18.75" x14ac:dyDescent="0.25">
      <c r="A7" s="344" t="s">
        <v>5</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s="190" customFormat="1"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s="190" customFormat="1" ht="15.75" x14ac:dyDescent="0.25">
      <c r="A9" s="345" t="s">
        <v>402</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s="190" customFormat="1" ht="15.75" x14ac:dyDescent="0.25">
      <c r="A10" s="346" t="s">
        <v>4</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s="190" customFormat="1"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s="190" customFormat="1" ht="15.75" x14ac:dyDescent="0.25">
      <c r="A12" s="345" t="str">
        <f>'6.1. Паспорт сетевой график'!A12:J12</f>
        <v>L_Che442_21</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s="190" customFormat="1" ht="15.75" x14ac:dyDescent="0.25">
      <c r="A13" s="346" t="s">
        <v>3</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s="190" customFormat="1"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s="190" customFormat="1" ht="15.75" x14ac:dyDescent="0.25">
      <c r="A15" s="345" t="str">
        <f>'6.1. Паспорт сетевой график'!A15:J15</f>
        <v>Приобретение оборудования в рамках Программы подготовки к ОЗП 2020/2021 гг.</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s="190" customFormat="1" ht="15.75" x14ac:dyDescent="0.25">
      <c r="A16" s="346" t="s">
        <v>2</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s="190" customFormat="1"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s="190" customForma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s="190" customFormat="1"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s="190" customFormat="1"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s="190" customFormat="1" x14ac:dyDescent="0.25">
      <c r="A21" s="348" t="s">
        <v>403</v>
      </c>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348"/>
      <c r="AB21" s="348"/>
      <c r="AC21" s="348"/>
      <c r="AD21" s="348"/>
      <c r="AE21" s="348"/>
      <c r="AF21" s="348"/>
      <c r="AG21" s="348"/>
      <c r="AH21" s="348"/>
      <c r="AI21" s="348"/>
      <c r="AJ21" s="348"/>
      <c r="AK21" s="348"/>
      <c r="AL21" s="348"/>
      <c r="AM21" s="348"/>
      <c r="AN21" s="348"/>
      <c r="AO21" s="348"/>
      <c r="AP21" s="348"/>
      <c r="AQ21" s="348"/>
      <c r="AR21" s="348"/>
      <c r="AS21" s="348"/>
      <c r="AT21" s="348"/>
      <c r="AU21" s="348"/>
      <c r="AV21" s="348"/>
    </row>
    <row r="22" spans="1:48" s="191" customFormat="1" ht="15.75" x14ac:dyDescent="0.25">
      <c r="A22" s="349" t="s">
        <v>404</v>
      </c>
      <c r="B22" s="352" t="s">
        <v>405</v>
      </c>
      <c r="C22" s="349" t="s">
        <v>406</v>
      </c>
      <c r="D22" s="349" t="s">
        <v>407</v>
      </c>
      <c r="E22" s="357" t="s">
        <v>408</v>
      </c>
      <c r="F22" s="358"/>
      <c r="G22" s="358"/>
      <c r="H22" s="358"/>
      <c r="I22" s="358"/>
      <c r="J22" s="358"/>
      <c r="K22" s="358"/>
      <c r="L22" s="359"/>
      <c r="M22" s="349" t="s">
        <v>409</v>
      </c>
      <c r="N22" s="349" t="s">
        <v>410</v>
      </c>
      <c r="O22" s="349" t="s">
        <v>411</v>
      </c>
      <c r="P22" s="356" t="s">
        <v>412</v>
      </c>
      <c r="Q22" s="356" t="s">
        <v>413</v>
      </c>
      <c r="R22" s="356" t="s">
        <v>414</v>
      </c>
      <c r="S22" s="356" t="s">
        <v>415</v>
      </c>
      <c r="T22" s="356"/>
      <c r="U22" s="366" t="s">
        <v>416</v>
      </c>
      <c r="V22" s="366" t="s">
        <v>417</v>
      </c>
      <c r="W22" s="356" t="s">
        <v>418</v>
      </c>
      <c r="X22" s="356" t="s">
        <v>419</v>
      </c>
      <c r="Y22" s="356" t="s">
        <v>420</v>
      </c>
      <c r="Z22" s="355" t="s">
        <v>421</v>
      </c>
      <c r="AA22" s="356" t="s">
        <v>422</v>
      </c>
      <c r="AB22" s="356" t="s">
        <v>423</v>
      </c>
      <c r="AC22" s="356" t="s">
        <v>424</v>
      </c>
      <c r="AD22" s="356" t="s">
        <v>425</v>
      </c>
      <c r="AE22" s="356" t="s">
        <v>426</v>
      </c>
      <c r="AF22" s="356" t="s">
        <v>427</v>
      </c>
      <c r="AG22" s="356"/>
      <c r="AH22" s="356"/>
      <c r="AI22" s="356"/>
      <c r="AJ22" s="356"/>
      <c r="AK22" s="356"/>
      <c r="AL22" s="356" t="s">
        <v>428</v>
      </c>
      <c r="AM22" s="356"/>
      <c r="AN22" s="356"/>
      <c r="AO22" s="356"/>
      <c r="AP22" s="356" t="s">
        <v>429</v>
      </c>
      <c r="AQ22" s="356"/>
      <c r="AR22" s="356" t="s">
        <v>430</v>
      </c>
      <c r="AS22" s="356" t="s">
        <v>431</v>
      </c>
      <c r="AT22" s="356" t="s">
        <v>432</v>
      </c>
      <c r="AU22" s="356" t="s">
        <v>433</v>
      </c>
      <c r="AV22" s="370" t="s">
        <v>434</v>
      </c>
    </row>
    <row r="23" spans="1:48" s="191" customFormat="1" ht="15.75" x14ac:dyDescent="0.25">
      <c r="A23" s="350"/>
      <c r="B23" s="353"/>
      <c r="C23" s="350"/>
      <c r="D23" s="350"/>
      <c r="E23" s="362" t="s">
        <v>435</v>
      </c>
      <c r="F23" s="364" t="s">
        <v>33</v>
      </c>
      <c r="G23" s="364" t="s">
        <v>32</v>
      </c>
      <c r="H23" s="364" t="s">
        <v>31</v>
      </c>
      <c r="I23" s="360" t="s">
        <v>436</v>
      </c>
      <c r="J23" s="360" t="s">
        <v>437</v>
      </c>
      <c r="K23" s="360" t="s">
        <v>438</v>
      </c>
      <c r="L23" s="364" t="s">
        <v>273</v>
      </c>
      <c r="M23" s="350"/>
      <c r="N23" s="350"/>
      <c r="O23" s="350"/>
      <c r="P23" s="356"/>
      <c r="Q23" s="356"/>
      <c r="R23" s="356"/>
      <c r="S23" s="368" t="s">
        <v>0</v>
      </c>
      <c r="T23" s="368" t="s">
        <v>439</v>
      </c>
      <c r="U23" s="366"/>
      <c r="V23" s="366"/>
      <c r="W23" s="356"/>
      <c r="X23" s="356"/>
      <c r="Y23" s="356"/>
      <c r="Z23" s="356"/>
      <c r="AA23" s="356"/>
      <c r="AB23" s="356"/>
      <c r="AC23" s="356"/>
      <c r="AD23" s="356"/>
      <c r="AE23" s="356"/>
      <c r="AF23" s="356" t="s">
        <v>440</v>
      </c>
      <c r="AG23" s="356"/>
      <c r="AH23" s="356" t="s">
        <v>441</v>
      </c>
      <c r="AI23" s="356"/>
      <c r="AJ23" s="349" t="s">
        <v>442</v>
      </c>
      <c r="AK23" s="349" t="s">
        <v>443</v>
      </c>
      <c r="AL23" s="349" t="s">
        <v>444</v>
      </c>
      <c r="AM23" s="349" t="s">
        <v>445</v>
      </c>
      <c r="AN23" s="349" t="s">
        <v>446</v>
      </c>
      <c r="AO23" s="349" t="s">
        <v>447</v>
      </c>
      <c r="AP23" s="349" t="s">
        <v>448</v>
      </c>
      <c r="AQ23" s="372" t="s">
        <v>439</v>
      </c>
      <c r="AR23" s="356"/>
      <c r="AS23" s="356"/>
      <c r="AT23" s="356"/>
      <c r="AU23" s="356"/>
      <c r="AV23" s="371"/>
    </row>
    <row r="24" spans="1:48" s="191" customFormat="1" ht="78.75" x14ac:dyDescent="0.25">
      <c r="A24" s="351"/>
      <c r="B24" s="354"/>
      <c r="C24" s="351"/>
      <c r="D24" s="351"/>
      <c r="E24" s="363"/>
      <c r="F24" s="365"/>
      <c r="G24" s="365"/>
      <c r="H24" s="365"/>
      <c r="I24" s="361"/>
      <c r="J24" s="361"/>
      <c r="K24" s="361"/>
      <c r="L24" s="365"/>
      <c r="M24" s="351"/>
      <c r="N24" s="351"/>
      <c r="O24" s="351"/>
      <c r="P24" s="356"/>
      <c r="Q24" s="356"/>
      <c r="R24" s="356"/>
      <c r="S24" s="369"/>
      <c r="T24" s="369"/>
      <c r="U24" s="366"/>
      <c r="V24" s="366"/>
      <c r="W24" s="356"/>
      <c r="X24" s="356"/>
      <c r="Y24" s="356"/>
      <c r="Z24" s="356"/>
      <c r="AA24" s="356"/>
      <c r="AB24" s="356"/>
      <c r="AC24" s="356"/>
      <c r="AD24" s="356"/>
      <c r="AE24" s="356"/>
      <c r="AF24" s="192" t="s">
        <v>449</v>
      </c>
      <c r="AG24" s="192" t="s">
        <v>450</v>
      </c>
      <c r="AH24" s="193" t="s">
        <v>0</v>
      </c>
      <c r="AI24" s="193" t="s">
        <v>439</v>
      </c>
      <c r="AJ24" s="351"/>
      <c r="AK24" s="351"/>
      <c r="AL24" s="351"/>
      <c r="AM24" s="351"/>
      <c r="AN24" s="351"/>
      <c r="AO24" s="351"/>
      <c r="AP24" s="351"/>
      <c r="AQ24" s="373"/>
      <c r="AR24" s="356"/>
      <c r="AS24" s="356"/>
      <c r="AT24" s="356"/>
      <c r="AU24" s="356"/>
      <c r="AV24" s="371"/>
    </row>
    <row r="25" spans="1:48" s="194" customFormat="1" ht="20.25" customHeight="1" x14ac:dyDescent="0.2">
      <c r="A25" s="202">
        <v>1</v>
      </c>
      <c r="B25" s="202">
        <v>2</v>
      </c>
      <c r="C25" s="202">
        <v>4</v>
      </c>
      <c r="D25" s="202">
        <v>5</v>
      </c>
      <c r="E25" s="202">
        <v>6</v>
      </c>
      <c r="F25" s="202">
        <f t="shared" ref="F25:AV25" si="0">E25+1</f>
        <v>7</v>
      </c>
      <c r="G25" s="202">
        <f t="shared" si="0"/>
        <v>8</v>
      </c>
      <c r="H25" s="202">
        <f t="shared" si="0"/>
        <v>9</v>
      </c>
      <c r="I25" s="202">
        <f t="shared" si="0"/>
        <v>10</v>
      </c>
      <c r="J25" s="202">
        <f t="shared" si="0"/>
        <v>11</v>
      </c>
      <c r="K25" s="202">
        <f t="shared" si="0"/>
        <v>12</v>
      </c>
      <c r="L25" s="202">
        <f t="shared" si="0"/>
        <v>13</v>
      </c>
      <c r="M25" s="202">
        <f t="shared" si="0"/>
        <v>14</v>
      </c>
      <c r="N25" s="202">
        <f t="shared" si="0"/>
        <v>15</v>
      </c>
      <c r="O25" s="202">
        <f t="shared" si="0"/>
        <v>16</v>
      </c>
      <c r="P25" s="202">
        <f t="shared" si="0"/>
        <v>17</v>
      </c>
      <c r="Q25" s="202">
        <f t="shared" si="0"/>
        <v>18</v>
      </c>
      <c r="R25" s="202">
        <f t="shared" si="0"/>
        <v>19</v>
      </c>
      <c r="S25" s="202">
        <f t="shared" si="0"/>
        <v>20</v>
      </c>
      <c r="T25" s="202">
        <f t="shared" si="0"/>
        <v>21</v>
      </c>
      <c r="U25" s="202">
        <f t="shared" si="0"/>
        <v>22</v>
      </c>
      <c r="V25" s="202">
        <f t="shared" si="0"/>
        <v>23</v>
      </c>
      <c r="W25" s="202">
        <f t="shared" si="0"/>
        <v>24</v>
      </c>
      <c r="X25" s="202">
        <f t="shared" si="0"/>
        <v>25</v>
      </c>
      <c r="Y25" s="202">
        <f t="shared" si="0"/>
        <v>26</v>
      </c>
      <c r="Z25" s="202">
        <f t="shared" si="0"/>
        <v>27</v>
      </c>
      <c r="AA25" s="202">
        <f t="shared" si="0"/>
        <v>28</v>
      </c>
      <c r="AB25" s="202">
        <f t="shared" si="0"/>
        <v>29</v>
      </c>
      <c r="AC25" s="202">
        <f t="shared" si="0"/>
        <v>30</v>
      </c>
      <c r="AD25" s="202">
        <f t="shared" si="0"/>
        <v>31</v>
      </c>
      <c r="AE25" s="202">
        <f t="shared" si="0"/>
        <v>32</v>
      </c>
      <c r="AF25" s="202">
        <f t="shared" si="0"/>
        <v>33</v>
      </c>
      <c r="AG25" s="202">
        <f t="shared" si="0"/>
        <v>34</v>
      </c>
      <c r="AH25" s="202">
        <f t="shared" si="0"/>
        <v>35</v>
      </c>
      <c r="AI25" s="202">
        <f t="shared" si="0"/>
        <v>36</v>
      </c>
      <c r="AJ25" s="202">
        <f t="shared" si="0"/>
        <v>37</v>
      </c>
      <c r="AK25" s="202">
        <f t="shared" si="0"/>
        <v>38</v>
      </c>
      <c r="AL25" s="202">
        <f t="shared" si="0"/>
        <v>39</v>
      </c>
      <c r="AM25" s="202">
        <f t="shared" si="0"/>
        <v>40</v>
      </c>
      <c r="AN25" s="202">
        <f t="shared" si="0"/>
        <v>41</v>
      </c>
      <c r="AO25" s="202">
        <f t="shared" si="0"/>
        <v>42</v>
      </c>
      <c r="AP25" s="202">
        <f t="shared" si="0"/>
        <v>43</v>
      </c>
      <c r="AQ25" s="202">
        <f t="shared" si="0"/>
        <v>44</v>
      </c>
      <c r="AR25" s="202">
        <f t="shared" si="0"/>
        <v>45</v>
      </c>
      <c r="AS25" s="202">
        <f t="shared" si="0"/>
        <v>46</v>
      </c>
      <c r="AT25" s="202">
        <f t="shared" si="0"/>
        <v>47</v>
      </c>
      <c r="AU25" s="202">
        <f t="shared" si="0"/>
        <v>48</v>
      </c>
      <c r="AV25" s="202">
        <f t="shared" si="0"/>
        <v>49</v>
      </c>
    </row>
    <row r="26" spans="1:48" s="218" customFormat="1" ht="180" x14ac:dyDescent="0.25">
      <c r="A26" s="228">
        <v>1</v>
      </c>
      <c r="B26" s="228" t="s">
        <v>177</v>
      </c>
      <c r="C26" s="228" t="s">
        <v>465</v>
      </c>
      <c r="D26" s="223" t="s">
        <v>490</v>
      </c>
      <c r="E26" s="227">
        <v>6</v>
      </c>
      <c r="F26" s="227">
        <v>0</v>
      </c>
      <c r="G26" s="227">
        <v>0</v>
      </c>
      <c r="H26" s="227">
        <v>0</v>
      </c>
      <c r="I26" s="227">
        <v>0</v>
      </c>
      <c r="J26" s="227">
        <v>0</v>
      </c>
      <c r="K26" s="227">
        <v>0</v>
      </c>
      <c r="L26" s="227">
        <v>0</v>
      </c>
      <c r="M26" s="227" t="s">
        <v>466</v>
      </c>
      <c r="N26" s="227" t="s">
        <v>467</v>
      </c>
      <c r="O26" s="227" t="s">
        <v>468</v>
      </c>
      <c r="P26" s="227">
        <v>85583.333329999994</v>
      </c>
      <c r="Q26" s="227" t="s">
        <v>469</v>
      </c>
      <c r="R26" s="227">
        <v>85583.333329999994</v>
      </c>
      <c r="S26" s="227" t="s">
        <v>470</v>
      </c>
      <c r="T26" s="227" t="s">
        <v>470</v>
      </c>
      <c r="U26" s="227">
        <v>19</v>
      </c>
      <c r="V26" s="227">
        <v>5</v>
      </c>
      <c r="W26" s="221" t="s">
        <v>471</v>
      </c>
      <c r="X26" s="222" t="s">
        <v>472</v>
      </c>
      <c r="Y26" s="221" t="s">
        <v>473</v>
      </c>
      <c r="Z26" s="227">
        <v>1</v>
      </c>
      <c r="AA26" s="225">
        <v>41579.17</v>
      </c>
      <c r="AB26" s="225">
        <v>41579.17</v>
      </c>
      <c r="AC26" s="227" t="s">
        <v>474</v>
      </c>
      <c r="AD26" s="225">
        <v>49895</v>
      </c>
      <c r="AE26" s="226">
        <v>49895</v>
      </c>
      <c r="AF26" s="227" t="s">
        <v>475</v>
      </c>
      <c r="AG26" s="227" t="s">
        <v>476</v>
      </c>
      <c r="AH26" s="223" t="s">
        <v>477</v>
      </c>
      <c r="AI26" s="223" t="s">
        <v>477</v>
      </c>
      <c r="AJ26" s="223" t="s">
        <v>478</v>
      </c>
      <c r="AK26" s="223" t="s">
        <v>479</v>
      </c>
      <c r="AL26" s="227" t="s">
        <v>229</v>
      </c>
      <c r="AM26" s="227" t="s">
        <v>229</v>
      </c>
      <c r="AN26" s="227" t="s">
        <v>229</v>
      </c>
      <c r="AO26" s="227" t="s">
        <v>229</v>
      </c>
      <c r="AP26" s="223" t="s">
        <v>480</v>
      </c>
      <c r="AQ26" s="223" t="s">
        <v>480</v>
      </c>
      <c r="AR26" s="227" t="s">
        <v>480</v>
      </c>
      <c r="AS26" s="227" t="s">
        <v>480</v>
      </c>
      <c r="AT26" s="223" t="s">
        <v>481</v>
      </c>
      <c r="AU26" s="222"/>
      <c r="AV26" s="224"/>
    </row>
  </sheetData>
  <mergeCells count="67">
    <mergeCell ref="AV22:AV24"/>
    <mergeCell ref="AL23:AL24"/>
    <mergeCell ref="AM23:AM24"/>
    <mergeCell ref="AQ23:AQ24"/>
    <mergeCell ref="AT22:AT24"/>
    <mergeCell ref="AP22:AQ22"/>
    <mergeCell ref="AP23:AP24"/>
    <mergeCell ref="AU22:AU24"/>
    <mergeCell ref="AR22:AR24"/>
    <mergeCell ref="AS22:AS24"/>
    <mergeCell ref="AL22:AO22"/>
    <mergeCell ref="AN23:AN24"/>
    <mergeCell ref="AO23:AO24"/>
    <mergeCell ref="X22:X24"/>
    <mergeCell ref="Y22:Y24"/>
    <mergeCell ref="AF22:AK22"/>
    <mergeCell ref="AF23:AG23"/>
    <mergeCell ref="AH23:AI23"/>
    <mergeCell ref="AK23:AK24"/>
    <mergeCell ref="AA22:AA24"/>
    <mergeCell ref="AJ23:AJ24"/>
    <mergeCell ref="AC22:AC24"/>
    <mergeCell ref="AD22:AD24"/>
    <mergeCell ref="AE22:AE24"/>
    <mergeCell ref="W22:W24"/>
    <mergeCell ref="G23:G24"/>
    <mergeCell ref="H23:H24"/>
    <mergeCell ref="Q22:Q24"/>
    <mergeCell ref="R22:R24"/>
    <mergeCell ref="O22:O24"/>
    <mergeCell ref="L23:L24"/>
    <mergeCell ref="K23:K24"/>
    <mergeCell ref="I23:I24"/>
    <mergeCell ref="S22:T22"/>
    <mergeCell ref="T23:T24"/>
    <mergeCell ref="S23:S24"/>
    <mergeCell ref="A16:AV16"/>
    <mergeCell ref="A17:AV17"/>
    <mergeCell ref="A18:AV18"/>
    <mergeCell ref="A19:AV19"/>
    <mergeCell ref="A20:AV20"/>
    <mergeCell ref="A21:AV21"/>
    <mergeCell ref="A22:A24"/>
    <mergeCell ref="B22:B24"/>
    <mergeCell ref="Z22:Z24"/>
    <mergeCell ref="AB22:AB24"/>
    <mergeCell ref="C22:C24"/>
    <mergeCell ref="D22:D24"/>
    <mergeCell ref="E22:L22"/>
    <mergeCell ref="M22:M24"/>
    <mergeCell ref="N22:N24"/>
    <mergeCell ref="J23:J24"/>
    <mergeCell ref="E23:E24"/>
    <mergeCell ref="F23:F24"/>
    <mergeCell ref="P22:P24"/>
    <mergeCell ref="U22:U24"/>
    <mergeCell ref="V22:V24"/>
    <mergeCell ref="A11:AV11"/>
    <mergeCell ref="A12:AV12"/>
    <mergeCell ref="A13:AV13"/>
    <mergeCell ref="A14:AV14"/>
    <mergeCell ref="A15:AV15"/>
    <mergeCell ref="A5:AV5"/>
    <mergeCell ref="A7:AV7"/>
    <mergeCell ref="A8:AV8"/>
    <mergeCell ref="A9:AV9"/>
    <mergeCell ref="A10:AV10"/>
  </mergeCells>
  <phoneticPr fontId="7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5" zoomScaleNormal="90" zoomScaleSheetLayoutView="85" workbookViewId="0">
      <selection activeCell="B29" sqref="B29:B30"/>
    </sheetView>
  </sheetViews>
  <sheetFormatPr defaultColWidth="9.140625" defaultRowHeight="15.75" x14ac:dyDescent="0.25"/>
  <cols>
    <col min="1" max="2" width="66.140625" style="54" customWidth="1"/>
    <col min="3" max="3" width="13.5703125" style="55" hidden="1" customWidth="1"/>
    <col min="4" max="16384" width="9.140625" style="55"/>
  </cols>
  <sheetData>
    <row r="1" spans="1:8" ht="18.75" x14ac:dyDescent="0.25">
      <c r="B1" s="33" t="s">
        <v>22</v>
      </c>
    </row>
    <row r="2" spans="1:8" ht="18.75" x14ac:dyDescent="0.3">
      <c r="B2" s="13" t="s">
        <v>6</v>
      </c>
    </row>
    <row r="3" spans="1:8" ht="18.75" x14ac:dyDescent="0.3">
      <c r="B3" s="13" t="s">
        <v>456</v>
      </c>
    </row>
    <row r="4" spans="1:8" x14ac:dyDescent="0.25">
      <c r="B4" s="36"/>
    </row>
    <row r="5" spans="1:8" ht="18.75" x14ac:dyDescent="0.3">
      <c r="A5" s="376" t="str">
        <f>'6.2. Паспорт фин осв ввод'!A4:G4</f>
        <v>Год раскрытия информации: 2021 год</v>
      </c>
      <c r="B5" s="376"/>
      <c r="C5" s="52"/>
      <c r="D5" s="52"/>
      <c r="E5" s="52"/>
      <c r="F5" s="52"/>
      <c r="G5" s="52"/>
      <c r="H5" s="52"/>
    </row>
    <row r="6" spans="1:8" ht="18.75" x14ac:dyDescent="0.3">
      <c r="A6" s="77"/>
      <c r="B6" s="77"/>
      <c r="C6" s="77"/>
      <c r="D6" s="77"/>
      <c r="E6" s="77"/>
      <c r="F6" s="77"/>
      <c r="G6" s="77"/>
      <c r="H6" s="77"/>
    </row>
    <row r="7" spans="1:8" ht="18.75" x14ac:dyDescent="0.25">
      <c r="A7" s="242" t="s">
        <v>5</v>
      </c>
      <c r="B7" s="242"/>
      <c r="C7" s="11"/>
      <c r="D7" s="11"/>
      <c r="E7" s="11"/>
      <c r="F7" s="11"/>
      <c r="G7" s="11"/>
      <c r="H7" s="11"/>
    </row>
    <row r="8" spans="1:8" ht="18.75" x14ac:dyDescent="0.25">
      <c r="A8" s="11"/>
      <c r="B8" s="11"/>
      <c r="C8" s="11"/>
      <c r="D8" s="11"/>
      <c r="E8" s="11"/>
      <c r="F8" s="11"/>
      <c r="G8" s="11"/>
      <c r="H8" s="11"/>
    </row>
    <row r="9" spans="1:8" x14ac:dyDescent="0.25">
      <c r="A9" s="243" t="s">
        <v>177</v>
      </c>
      <c r="B9" s="243"/>
      <c r="C9" s="6"/>
      <c r="D9" s="6"/>
      <c r="E9" s="6"/>
      <c r="F9" s="6"/>
      <c r="G9" s="6"/>
      <c r="H9" s="6"/>
    </row>
    <row r="10" spans="1:8" x14ac:dyDescent="0.25">
      <c r="A10" s="239" t="s">
        <v>4</v>
      </c>
      <c r="B10" s="239"/>
      <c r="C10" s="4"/>
      <c r="D10" s="4"/>
      <c r="E10" s="4"/>
      <c r="F10" s="4"/>
      <c r="G10" s="4"/>
      <c r="H10" s="4"/>
    </row>
    <row r="11" spans="1:8" ht="18.75" x14ac:dyDescent="0.25">
      <c r="A11" s="11"/>
      <c r="B11" s="11"/>
      <c r="C11" s="11"/>
      <c r="D11" s="11"/>
      <c r="E11" s="11"/>
      <c r="F11" s="11"/>
      <c r="G11" s="11"/>
      <c r="H11" s="11"/>
    </row>
    <row r="12" spans="1:8" ht="30.75" customHeight="1" x14ac:dyDescent="0.25">
      <c r="A12" s="243" t="str">
        <f>'7. Паспорт отчет о закупке'!A12:AV12</f>
        <v>L_Che442_21</v>
      </c>
      <c r="B12" s="243"/>
      <c r="C12" s="6"/>
      <c r="D12" s="6"/>
      <c r="E12" s="6"/>
      <c r="F12" s="6"/>
      <c r="G12" s="6"/>
      <c r="H12" s="6"/>
    </row>
    <row r="13" spans="1:8" x14ac:dyDescent="0.25">
      <c r="A13" s="239" t="s">
        <v>3</v>
      </c>
      <c r="B13" s="239"/>
      <c r="C13" s="4"/>
      <c r="D13" s="4"/>
      <c r="E13" s="4"/>
      <c r="F13" s="4"/>
      <c r="G13" s="4"/>
      <c r="H13" s="4"/>
    </row>
    <row r="14" spans="1:8" ht="18.75" x14ac:dyDescent="0.25">
      <c r="A14" s="9"/>
      <c r="B14" s="9"/>
      <c r="C14" s="9"/>
      <c r="D14" s="9"/>
      <c r="E14" s="9"/>
      <c r="F14" s="9"/>
      <c r="G14" s="9"/>
      <c r="H14" s="9"/>
    </row>
    <row r="15" spans="1:8" x14ac:dyDescent="0.25">
      <c r="A15" s="243" t="str">
        <f>'7. Паспорт отчет о закупке'!A15:AV15</f>
        <v>Приобретение оборудования в рамках Программы подготовки к ОЗП 2020/2021 гг.</v>
      </c>
      <c r="B15" s="243"/>
      <c r="C15" s="6"/>
      <c r="D15" s="6"/>
      <c r="E15" s="6"/>
      <c r="F15" s="6"/>
      <c r="G15" s="6"/>
      <c r="H15" s="6"/>
    </row>
    <row r="16" spans="1:8" x14ac:dyDescent="0.25">
      <c r="A16" s="239" t="s">
        <v>2</v>
      </c>
      <c r="B16" s="239"/>
      <c r="C16" s="4"/>
      <c r="D16" s="4"/>
      <c r="E16" s="4"/>
      <c r="F16" s="4"/>
      <c r="G16" s="4"/>
      <c r="H16" s="4"/>
    </row>
    <row r="17" spans="1:2" x14ac:dyDescent="0.25">
      <c r="B17" s="56"/>
    </row>
    <row r="18" spans="1:2" ht="21.75" customHeight="1" x14ac:dyDescent="0.25">
      <c r="A18" s="374" t="s">
        <v>170</v>
      </c>
      <c r="B18" s="375"/>
    </row>
    <row r="19" spans="1:2" x14ac:dyDescent="0.25">
      <c r="B19" s="36"/>
    </row>
    <row r="20" spans="1:2" ht="16.5" thickBot="1" x14ac:dyDescent="0.3">
      <c r="B20" s="57"/>
    </row>
    <row r="21" spans="1:2" ht="30.75" thickBot="1" x14ac:dyDescent="0.3">
      <c r="A21" s="58" t="s">
        <v>100</v>
      </c>
      <c r="B21" s="198" t="str">
        <f>'1. паспорт местоположение'!A15</f>
        <v>Приобретение оборудования в рамках Программы подготовки к ОЗП 2020/2021 гг.</v>
      </c>
    </row>
    <row r="22" spans="1:2" ht="16.5" thickBot="1" x14ac:dyDescent="0.3">
      <c r="A22" s="58" t="s">
        <v>101</v>
      </c>
      <c r="B22" s="198" t="str">
        <f>'1. паспорт местоположение'!C27</f>
        <v>Чеченская Республика</v>
      </c>
    </row>
    <row r="23" spans="1:2" ht="16.5" thickBot="1" x14ac:dyDescent="0.3">
      <c r="A23" s="58" t="s">
        <v>98</v>
      </c>
      <c r="B23" s="198" t="str">
        <f>'1. паспорт местоположение'!C22</f>
        <v>Прочие инвестиционные проекты</v>
      </c>
    </row>
    <row r="24" spans="1:2" ht="16.5" thickBot="1" x14ac:dyDescent="0.3">
      <c r="A24" s="58" t="s">
        <v>102</v>
      </c>
      <c r="B24" s="199" t="s">
        <v>229</v>
      </c>
    </row>
    <row r="25" spans="1:2" ht="20.25" customHeight="1" thickBot="1" x14ac:dyDescent="0.3">
      <c r="A25" s="59" t="s">
        <v>103</v>
      </c>
      <c r="B25" s="198">
        <f>VLOOKUP(A12,'[1]6.2. отчет'!$D:$OM,400,0)</f>
        <v>2024</v>
      </c>
    </row>
    <row r="26" spans="1:2" ht="21.75" customHeight="1" thickBot="1" x14ac:dyDescent="0.3">
      <c r="A26" s="60" t="s">
        <v>104</v>
      </c>
      <c r="B26" s="198" t="str">
        <f>'3.3 паспорт описание'!C30</f>
        <v>з</v>
      </c>
    </row>
    <row r="27" spans="1:2" ht="29.25" thickBot="1" x14ac:dyDescent="0.3">
      <c r="A27" s="67" t="s">
        <v>194</v>
      </c>
      <c r="B27" s="199">
        <f>VLOOKUP($A$12,'[1]6.2. отчет'!$D:$OT,407,0)</f>
        <v>49.895000000000003</v>
      </c>
    </row>
    <row r="28" spans="1:2" ht="18.75" customHeight="1" thickBot="1" x14ac:dyDescent="0.3">
      <c r="A28" s="62" t="s">
        <v>105</v>
      </c>
      <c r="B28" s="62" t="s">
        <v>229</v>
      </c>
    </row>
    <row r="29" spans="1:2" ht="29.25" thickBot="1" x14ac:dyDescent="0.3">
      <c r="A29" s="68" t="s">
        <v>106</v>
      </c>
      <c r="B29" s="229">
        <f>B38</f>
        <v>49.895000000000003</v>
      </c>
    </row>
    <row r="30" spans="1:2" ht="29.25" thickBot="1" x14ac:dyDescent="0.3">
      <c r="A30" s="68" t="s">
        <v>107</v>
      </c>
      <c r="B30" s="229">
        <f>B38</f>
        <v>49.895000000000003</v>
      </c>
    </row>
    <row r="31" spans="1:2" ht="16.5" thickBot="1" x14ac:dyDescent="0.3">
      <c r="A31" s="62" t="s">
        <v>108</v>
      </c>
      <c r="B31" s="62" t="s">
        <v>229</v>
      </c>
    </row>
    <row r="32" spans="1:2" ht="29.25" thickBot="1" x14ac:dyDescent="0.3">
      <c r="A32" s="68" t="s">
        <v>109</v>
      </c>
      <c r="B32" s="62" t="s">
        <v>229</v>
      </c>
    </row>
    <row r="33" spans="1:2" ht="16.5" thickBot="1" x14ac:dyDescent="0.3">
      <c r="A33" s="62" t="s">
        <v>110</v>
      </c>
      <c r="B33" s="62" t="s">
        <v>229</v>
      </c>
    </row>
    <row r="34" spans="1:2" ht="16.5" thickBot="1" x14ac:dyDescent="0.3">
      <c r="A34" s="62" t="s">
        <v>111</v>
      </c>
      <c r="B34" s="62" t="s">
        <v>229</v>
      </c>
    </row>
    <row r="35" spans="1:2" ht="16.5" thickBot="1" x14ac:dyDescent="0.3">
      <c r="A35" s="62" t="s">
        <v>112</v>
      </c>
      <c r="B35" s="62" t="s">
        <v>229</v>
      </c>
    </row>
    <row r="36" spans="1:2" ht="16.5" thickBot="1" x14ac:dyDescent="0.3">
      <c r="A36" s="62" t="s">
        <v>113</v>
      </c>
      <c r="B36" s="62" t="s">
        <v>229</v>
      </c>
    </row>
    <row r="37" spans="1:2" ht="28.5" x14ac:dyDescent="0.25">
      <c r="A37" s="216" t="s">
        <v>114</v>
      </c>
      <c r="B37" s="230" t="s">
        <v>482</v>
      </c>
    </row>
    <row r="38" spans="1:2" x14ac:dyDescent="0.25">
      <c r="A38" s="217" t="s">
        <v>463</v>
      </c>
      <c r="B38" s="231">
        <v>49.895000000000003</v>
      </c>
    </row>
    <row r="39" spans="1:2" x14ac:dyDescent="0.25">
      <c r="A39" s="217" t="s">
        <v>111</v>
      </c>
      <c r="B39" s="232">
        <v>1</v>
      </c>
    </row>
    <row r="40" spans="1:2" x14ac:dyDescent="0.25">
      <c r="A40" s="217" t="s">
        <v>112</v>
      </c>
      <c r="B40" s="229">
        <v>49.895000000000003</v>
      </c>
    </row>
    <row r="41" spans="1:2" ht="16.5" thickBot="1" x14ac:dyDescent="0.3">
      <c r="A41" s="217" t="s">
        <v>113</v>
      </c>
      <c r="B41" s="229">
        <v>49.895000000000003</v>
      </c>
    </row>
    <row r="42" spans="1:2" s="204" customFormat="1" ht="29.25" thickBot="1" x14ac:dyDescent="0.3">
      <c r="A42" s="203" t="s">
        <v>115</v>
      </c>
      <c r="B42" s="203"/>
    </row>
    <row r="43" spans="1:2" s="204" customFormat="1" ht="16.5" thickBot="1" x14ac:dyDescent="0.3">
      <c r="A43" s="205" t="s">
        <v>110</v>
      </c>
      <c r="B43" s="205" t="s">
        <v>229</v>
      </c>
    </row>
    <row r="44" spans="1:2" s="204" customFormat="1" ht="16.5" thickBot="1" x14ac:dyDescent="0.3">
      <c r="A44" s="205" t="s">
        <v>111</v>
      </c>
      <c r="B44" s="205" t="s">
        <v>229</v>
      </c>
    </row>
    <row r="45" spans="1:2" s="204" customFormat="1" ht="16.5" thickBot="1" x14ac:dyDescent="0.3">
      <c r="A45" s="205" t="s">
        <v>112</v>
      </c>
      <c r="B45" s="205" t="s">
        <v>229</v>
      </c>
    </row>
    <row r="46" spans="1:2" s="204" customFormat="1" ht="16.5" thickBot="1" x14ac:dyDescent="0.3">
      <c r="A46" s="205" t="s">
        <v>113</v>
      </c>
      <c r="B46" s="206" t="s">
        <v>229</v>
      </c>
    </row>
    <row r="47" spans="1:2" s="204" customFormat="1" ht="16.5" thickBot="1" x14ac:dyDescent="0.3">
      <c r="A47" s="214" t="s">
        <v>457</v>
      </c>
      <c r="B47" s="206" t="s">
        <v>229</v>
      </c>
    </row>
    <row r="48" spans="1:2" s="204" customFormat="1" ht="16.5" thickBot="1" x14ac:dyDescent="0.3">
      <c r="A48" s="214" t="s">
        <v>458</v>
      </c>
      <c r="B48" s="206" t="s">
        <v>229</v>
      </c>
    </row>
    <row r="49" spans="1:3" s="204" customFormat="1" ht="16.5" thickBot="1" x14ac:dyDescent="0.3">
      <c r="A49" s="214" t="s">
        <v>459</v>
      </c>
      <c r="B49" s="206" t="s">
        <v>229</v>
      </c>
    </row>
    <row r="50" spans="1:3" s="204" customFormat="1" ht="16.5" thickBot="1" x14ac:dyDescent="0.3">
      <c r="A50" s="214" t="s">
        <v>460</v>
      </c>
      <c r="B50" s="206"/>
    </row>
    <row r="51" spans="1:3" s="204" customFormat="1" ht="29.25" thickBot="1" x14ac:dyDescent="0.3">
      <c r="A51" s="207" t="s">
        <v>116</v>
      </c>
      <c r="B51" s="219">
        <f>B54</f>
        <v>1</v>
      </c>
    </row>
    <row r="52" spans="1:3" s="204" customFormat="1" ht="16.5" thickBot="1" x14ac:dyDescent="0.3">
      <c r="A52" s="208" t="s">
        <v>108</v>
      </c>
      <c r="B52" s="205" t="s">
        <v>229</v>
      </c>
    </row>
    <row r="53" spans="1:3" s="204" customFormat="1" ht="16.5" thickBot="1" x14ac:dyDescent="0.3">
      <c r="A53" s="208" t="s">
        <v>117</v>
      </c>
      <c r="B53" s="205" t="s">
        <v>229</v>
      </c>
    </row>
    <row r="54" spans="1:3" s="204" customFormat="1" ht="16.5" thickBot="1" x14ac:dyDescent="0.3">
      <c r="A54" s="208" t="s">
        <v>118</v>
      </c>
      <c r="B54" s="219">
        <f>B39</f>
        <v>1</v>
      </c>
    </row>
    <row r="55" spans="1:3" s="204" customFormat="1" ht="16.5" thickBot="1" x14ac:dyDescent="0.3">
      <c r="A55" s="208" t="s">
        <v>119</v>
      </c>
      <c r="B55" s="205" t="s">
        <v>229</v>
      </c>
    </row>
    <row r="56" spans="1:3" s="204" customFormat="1" ht="16.5" thickBot="1" x14ac:dyDescent="0.3">
      <c r="A56" s="209" t="s">
        <v>120</v>
      </c>
      <c r="B56" s="210">
        <f>B57/$B$27</f>
        <v>1</v>
      </c>
    </row>
    <row r="57" spans="1:3" s="204" customFormat="1" ht="16.5" thickBot="1" x14ac:dyDescent="0.3">
      <c r="A57" s="209" t="s">
        <v>121</v>
      </c>
      <c r="B57" s="211">
        <f>'6.2. Паспорт фин осв ввод'!$D$24</f>
        <v>49.895000000000003</v>
      </c>
      <c r="C57" s="377">
        <f>B40-B57</f>
        <v>0</v>
      </c>
    </row>
    <row r="58" spans="1:3" s="204" customFormat="1" ht="16.5" thickBot="1" x14ac:dyDescent="0.3">
      <c r="A58" s="209" t="s">
        <v>122</v>
      </c>
      <c r="B58" s="210">
        <f>B59/(B27/1.2)</f>
        <v>0.99999999983966315</v>
      </c>
    </row>
    <row r="59" spans="1:3" s="204" customFormat="1" ht="16.5" thickBot="1" x14ac:dyDescent="0.3">
      <c r="A59" s="212" t="s">
        <v>123</v>
      </c>
      <c r="B59" s="211">
        <f>'6.2. Паспорт фин осв ввод'!$D$30</f>
        <v>41.579166659999999</v>
      </c>
      <c r="C59" s="378">
        <f>B41/1.2-B59</f>
        <v>6.6666743236964976E-9</v>
      </c>
    </row>
    <row r="60" spans="1:3" s="204" customFormat="1" ht="15.75" customHeight="1" thickBot="1" x14ac:dyDescent="0.3">
      <c r="A60" s="207" t="s">
        <v>124</v>
      </c>
      <c r="B60" s="205"/>
    </row>
    <row r="61" spans="1:3" s="204" customFormat="1" x14ac:dyDescent="0.25">
      <c r="A61" s="213" t="s">
        <v>125</v>
      </c>
      <c r="B61" s="213" t="s">
        <v>177</v>
      </c>
    </row>
    <row r="62" spans="1:3" x14ac:dyDescent="0.25">
      <c r="A62" s="65" t="s">
        <v>126</v>
      </c>
      <c r="B62" s="65" t="s">
        <v>229</v>
      </c>
    </row>
    <row r="63" spans="1:3" x14ac:dyDescent="0.25">
      <c r="A63" s="65" t="s">
        <v>127</v>
      </c>
      <c r="B63" s="65" t="s">
        <v>229</v>
      </c>
    </row>
    <row r="64" spans="1:3" x14ac:dyDescent="0.25">
      <c r="A64" s="65" t="s">
        <v>128</v>
      </c>
      <c r="B64" s="65" t="s">
        <v>229</v>
      </c>
    </row>
    <row r="65" spans="1:2" ht="16.5" thickBot="1" x14ac:dyDescent="0.3">
      <c r="A65" s="66" t="s">
        <v>129</v>
      </c>
      <c r="B65" s="216"/>
    </row>
    <row r="66" spans="1:2" ht="30.75" thickBot="1" x14ac:dyDescent="0.3">
      <c r="A66" s="63" t="s">
        <v>130</v>
      </c>
      <c r="B66" s="64" t="s">
        <v>229</v>
      </c>
    </row>
    <row r="67" spans="1:2" ht="29.25" thickBot="1" x14ac:dyDescent="0.3">
      <c r="A67" s="59" t="s">
        <v>131</v>
      </c>
      <c r="B67" s="64" t="s">
        <v>229</v>
      </c>
    </row>
    <row r="68" spans="1:2" ht="16.5" thickBot="1" x14ac:dyDescent="0.3">
      <c r="A68" s="63" t="s">
        <v>108</v>
      </c>
      <c r="B68" s="64" t="s">
        <v>229</v>
      </c>
    </row>
    <row r="69" spans="1:2" ht="16.5" thickBot="1" x14ac:dyDescent="0.3">
      <c r="A69" s="63" t="s">
        <v>132</v>
      </c>
      <c r="B69" s="64" t="s">
        <v>229</v>
      </c>
    </row>
    <row r="70" spans="1:2" ht="16.5" thickBot="1" x14ac:dyDescent="0.3">
      <c r="A70" s="63" t="s">
        <v>133</v>
      </c>
      <c r="B70" s="64" t="s">
        <v>229</v>
      </c>
    </row>
    <row r="71" spans="1:2" ht="16.5" thickBot="1" x14ac:dyDescent="0.3">
      <c r="A71" s="70" t="s">
        <v>134</v>
      </c>
      <c r="B71" s="64" t="s">
        <v>229</v>
      </c>
    </row>
    <row r="72" spans="1:2" ht="16.5" thickBot="1" x14ac:dyDescent="0.3">
      <c r="A72" s="59" t="s">
        <v>135</v>
      </c>
      <c r="B72" s="64" t="s">
        <v>229</v>
      </c>
    </row>
    <row r="73" spans="1:2" ht="16.5" thickBot="1" x14ac:dyDescent="0.3">
      <c r="A73" s="65" t="s">
        <v>136</v>
      </c>
      <c r="B73" s="64" t="s">
        <v>229</v>
      </c>
    </row>
    <row r="74" spans="1:2" ht="16.5" thickBot="1" x14ac:dyDescent="0.3">
      <c r="A74" s="65" t="s">
        <v>137</v>
      </c>
      <c r="B74" s="64" t="s">
        <v>229</v>
      </c>
    </row>
    <row r="75" spans="1:2" ht="16.5" thickBot="1" x14ac:dyDescent="0.3">
      <c r="A75" s="65" t="s">
        <v>138</v>
      </c>
      <c r="B75" s="64" t="s">
        <v>229</v>
      </c>
    </row>
    <row r="76" spans="1:2" ht="29.25" thickBot="1" x14ac:dyDescent="0.3">
      <c r="A76" s="71" t="s">
        <v>139</v>
      </c>
      <c r="B76" s="69" t="s">
        <v>451</v>
      </c>
    </row>
    <row r="77" spans="1:2" ht="28.5" customHeight="1" thickBot="1" x14ac:dyDescent="0.3">
      <c r="A77" s="61" t="s">
        <v>140</v>
      </c>
      <c r="B77" s="63" t="s">
        <v>229</v>
      </c>
    </row>
    <row r="78" spans="1:2" ht="16.5" thickBot="1" x14ac:dyDescent="0.3">
      <c r="A78" s="65" t="s">
        <v>141</v>
      </c>
      <c r="B78" s="63" t="s">
        <v>229</v>
      </c>
    </row>
    <row r="79" spans="1:2" ht="16.5" thickBot="1" x14ac:dyDescent="0.3">
      <c r="A79" s="65" t="s">
        <v>142</v>
      </c>
      <c r="B79" s="63" t="s">
        <v>229</v>
      </c>
    </row>
    <row r="80" spans="1:2" ht="16.5" thickBot="1" x14ac:dyDescent="0.3">
      <c r="A80" s="65" t="s">
        <v>143</v>
      </c>
      <c r="B80" s="63" t="s">
        <v>229</v>
      </c>
    </row>
    <row r="81" spans="1:2" ht="16.5" thickBot="1" x14ac:dyDescent="0.3">
      <c r="A81" s="65" t="s">
        <v>144</v>
      </c>
      <c r="B81" s="63" t="s">
        <v>229</v>
      </c>
    </row>
    <row r="82" spans="1:2" ht="16.5" thickBot="1" x14ac:dyDescent="0.3">
      <c r="A82" s="72" t="s">
        <v>145</v>
      </c>
      <c r="B82" s="63" t="s">
        <v>229</v>
      </c>
    </row>
    <row r="85" spans="1:2" x14ac:dyDescent="0.25">
      <c r="A85" s="73"/>
      <c r="B85" s="74"/>
    </row>
    <row r="86" spans="1:2" x14ac:dyDescent="0.25">
      <c r="B86" s="75"/>
    </row>
    <row r="87" spans="1:2" x14ac:dyDescent="0.25">
      <c r="B87" s="76"/>
    </row>
  </sheetData>
  <mergeCells count="9">
    <mergeCell ref="A15:B15"/>
    <mergeCell ref="A16:B16"/>
    <mergeCell ref="A18:B18"/>
    <mergeCell ref="A5:B5"/>
    <mergeCell ref="A7:B7"/>
    <mergeCell ref="A9:B9"/>
    <mergeCell ref="A10:B10"/>
    <mergeCell ref="A12:B12"/>
    <mergeCell ref="A13:B13"/>
  </mergeCells>
  <phoneticPr fontId="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zoomScale="70" zoomScaleNormal="7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6" customFormat="1" ht="18.75" x14ac:dyDescent="0.2">
      <c r="A1" s="16"/>
      <c r="S1" s="33" t="s">
        <v>22</v>
      </c>
    </row>
    <row r="2" spans="1:28" s="106" customFormat="1" ht="18.75" x14ac:dyDescent="0.3">
      <c r="A2" s="16"/>
      <c r="S2" s="13" t="s">
        <v>6</v>
      </c>
    </row>
    <row r="3" spans="1:28" s="106" customFormat="1" ht="18.75" x14ac:dyDescent="0.3">
      <c r="S3" s="13" t="s">
        <v>21</v>
      </c>
    </row>
    <row r="4" spans="1:28" s="107" customFormat="1" ht="15.75" x14ac:dyDescent="0.2">
      <c r="A4" s="247" t="s">
        <v>462</v>
      </c>
      <c r="B4" s="247"/>
      <c r="C4" s="247"/>
      <c r="D4" s="247"/>
      <c r="E4" s="247"/>
      <c r="F4" s="247"/>
      <c r="G4" s="247"/>
      <c r="H4" s="247"/>
      <c r="I4" s="247"/>
      <c r="J4" s="247"/>
      <c r="K4" s="247"/>
      <c r="L4" s="247"/>
      <c r="M4" s="247"/>
      <c r="N4" s="247"/>
      <c r="O4" s="247"/>
      <c r="P4" s="247"/>
      <c r="Q4" s="247"/>
      <c r="R4" s="247"/>
      <c r="S4" s="247"/>
    </row>
    <row r="5" spans="1:28" s="107" customFormat="1" ht="15.75" x14ac:dyDescent="0.2">
      <c r="A5" s="108"/>
    </row>
    <row r="6" spans="1:28" s="107" customFormat="1" ht="18.75" x14ac:dyDescent="0.2">
      <c r="A6" s="248" t="s">
        <v>5</v>
      </c>
      <c r="B6" s="248"/>
      <c r="C6" s="248"/>
      <c r="D6" s="248"/>
      <c r="E6" s="248"/>
      <c r="F6" s="248"/>
      <c r="G6" s="248"/>
      <c r="H6" s="248"/>
      <c r="I6" s="248"/>
      <c r="J6" s="248"/>
      <c r="K6" s="248"/>
      <c r="L6" s="248"/>
      <c r="M6" s="248"/>
      <c r="N6" s="248"/>
      <c r="O6" s="248"/>
      <c r="P6" s="248"/>
      <c r="Q6" s="248"/>
      <c r="R6" s="248"/>
      <c r="S6" s="248"/>
      <c r="T6" s="109"/>
      <c r="U6" s="109"/>
      <c r="V6" s="109"/>
      <c r="W6" s="109"/>
      <c r="X6" s="109"/>
      <c r="Y6" s="109"/>
      <c r="Z6" s="109"/>
      <c r="AA6" s="109"/>
      <c r="AB6" s="109"/>
    </row>
    <row r="7" spans="1:28" s="107" customFormat="1" ht="18.75" x14ac:dyDescent="0.2">
      <c r="A7" s="248"/>
      <c r="B7" s="248"/>
      <c r="C7" s="248"/>
      <c r="D7" s="248"/>
      <c r="E7" s="248"/>
      <c r="F7" s="248"/>
      <c r="G7" s="248"/>
      <c r="H7" s="248"/>
      <c r="I7" s="248"/>
      <c r="J7" s="248"/>
      <c r="K7" s="248"/>
      <c r="L7" s="248"/>
      <c r="M7" s="248"/>
      <c r="N7" s="248"/>
      <c r="O7" s="248"/>
      <c r="P7" s="248"/>
      <c r="Q7" s="248"/>
      <c r="R7" s="248"/>
      <c r="S7" s="248"/>
      <c r="T7" s="109"/>
      <c r="U7" s="109"/>
      <c r="V7" s="109"/>
      <c r="W7" s="109"/>
      <c r="X7" s="109"/>
      <c r="Y7" s="109"/>
      <c r="Z7" s="109"/>
      <c r="AA7" s="109"/>
      <c r="AB7" s="109"/>
    </row>
    <row r="8" spans="1:28" s="107" customFormat="1" ht="18.75" x14ac:dyDescent="0.2">
      <c r="A8" s="249" t="s">
        <v>177</v>
      </c>
      <c r="B8" s="249"/>
      <c r="C8" s="249"/>
      <c r="D8" s="249"/>
      <c r="E8" s="249"/>
      <c r="F8" s="249"/>
      <c r="G8" s="249"/>
      <c r="H8" s="249"/>
      <c r="I8" s="249"/>
      <c r="J8" s="249"/>
      <c r="K8" s="249"/>
      <c r="L8" s="249"/>
      <c r="M8" s="249"/>
      <c r="N8" s="249"/>
      <c r="O8" s="249"/>
      <c r="P8" s="249"/>
      <c r="Q8" s="249"/>
      <c r="R8" s="249"/>
      <c r="S8" s="249"/>
      <c r="T8" s="109"/>
      <c r="U8" s="109"/>
      <c r="V8" s="109"/>
      <c r="W8" s="109"/>
      <c r="X8" s="109"/>
      <c r="Y8" s="109"/>
      <c r="Z8" s="109"/>
      <c r="AA8" s="109"/>
      <c r="AB8" s="109"/>
    </row>
    <row r="9" spans="1:28" s="107" customFormat="1" ht="18.75" x14ac:dyDescent="0.2">
      <c r="A9" s="250" t="s">
        <v>4</v>
      </c>
      <c r="B9" s="250"/>
      <c r="C9" s="250"/>
      <c r="D9" s="250"/>
      <c r="E9" s="250"/>
      <c r="F9" s="250"/>
      <c r="G9" s="250"/>
      <c r="H9" s="250"/>
      <c r="I9" s="250"/>
      <c r="J9" s="250"/>
      <c r="K9" s="250"/>
      <c r="L9" s="250"/>
      <c r="M9" s="250"/>
      <c r="N9" s="250"/>
      <c r="O9" s="250"/>
      <c r="P9" s="250"/>
      <c r="Q9" s="250"/>
      <c r="R9" s="250"/>
      <c r="S9" s="250"/>
      <c r="T9" s="109"/>
      <c r="U9" s="109"/>
      <c r="V9" s="109"/>
      <c r="W9" s="109"/>
      <c r="X9" s="109"/>
      <c r="Y9" s="109"/>
      <c r="Z9" s="109"/>
      <c r="AA9" s="109"/>
      <c r="AB9" s="109"/>
    </row>
    <row r="10" spans="1:28" s="107" customFormat="1" ht="18.75" x14ac:dyDescent="0.2">
      <c r="A10" s="248"/>
      <c r="B10" s="248"/>
      <c r="C10" s="248"/>
      <c r="D10" s="248"/>
      <c r="E10" s="248"/>
      <c r="F10" s="248"/>
      <c r="G10" s="248"/>
      <c r="H10" s="248"/>
      <c r="I10" s="248"/>
      <c r="J10" s="248"/>
      <c r="K10" s="248"/>
      <c r="L10" s="248"/>
      <c r="M10" s="248"/>
      <c r="N10" s="248"/>
      <c r="O10" s="248"/>
      <c r="P10" s="248"/>
      <c r="Q10" s="248"/>
      <c r="R10" s="248"/>
      <c r="S10" s="248"/>
      <c r="T10" s="109"/>
      <c r="U10" s="109"/>
      <c r="V10" s="109"/>
      <c r="W10" s="109"/>
      <c r="X10" s="109"/>
      <c r="Y10" s="109"/>
      <c r="Z10" s="109"/>
      <c r="AA10" s="109"/>
      <c r="AB10" s="109"/>
    </row>
    <row r="11" spans="1:28" s="107" customFormat="1" ht="18.75" x14ac:dyDescent="0.2">
      <c r="A11" s="249" t="str">
        <f>'1. паспорт местоположение'!A12:C12</f>
        <v>L_Che442_21</v>
      </c>
      <c r="B11" s="249"/>
      <c r="C11" s="249"/>
      <c r="D11" s="249"/>
      <c r="E11" s="249"/>
      <c r="F11" s="249"/>
      <c r="G11" s="249"/>
      <c r="H11" s="249"/>
      <c r="I11" s="249"/>
      <c r="J11" s="249"/>
      <c r="K11" s="249"/>
      <c r="L11" s="249"/>
      <c r="M11" s="249"/>
      <c r="N11" s="249"/>
      <c r="O11" s="249"/>
      <c r="P11" s="249"/>
      <c r="Q11" s="249"/>
      <c r="R11" s="249"/>
      <c r="S11" s="249"/>
      <c r="T11" s="109"/>
      <c r="U11" s="109"/>
      <c r="V11" s="109"/>
      <c r="W11" s="109"/>
      <c r="X11" s="109"/>
      <c r="Y11" s="109"/>
      <c r="Z11" s="109"/>
      <c r="AA11" s="109"/>
      <c r="AB11" s="109"/>
    </row>
    <row r="12" spans="1:28" s="107" customFormat="1" ht="18.75" x14ac:dyDescent="0.2">
      <c r="A12" s="250" t="s">
        <v>3</v>
      </c>
      <c r="B12" s="250"/>
      <c r="C12" s="250"/>
      <c r="D12" s="250"/>
      <c r="E12" s="250"/>
      <c r="F12" s="250"/>
      <c r="G12" s="250"/>
      <c r="H12" s="250"/>
      <c r="I12" s="250"/>
      <c r="J12" s="250"/>
      <c r="K12" s="250"/>
      <c r="L12" s="250"/>
      <c r="M12" s="250"/>
      <c r="N12" s="250"/>
      <c r="O12" s="250"/>
      <c r="P12" s="250"/>
      <c r="Q12" s="250"/>
      <c r="R12" s="250"/>
      <c r="S12" s="250"/>
      <c r="T12" s="109"/>
      <c r="U12" s="109"/>
      <c r="V12" s="109"/>
      <c r="W12" s="109"/>
      <c r="X12" s="109"/>
      <c r="Y12" s="109"/>
      <c r="Z12" s="109"/>
      <c r="AA12" s="109"/>
      <c r="AB12" s="109"/>
    </row>
    <row r="13" spans="1:28" s="111" customFormat="1" ht="18.75" x14ac:dyDescent="0.2">
      <c r="A13" s="252"/>
      <c r="B13" s="252"/>
      <c r="C13" s="252"/>
      <c r="D13" s="252"/>
      <c r="E13" s="252"/>
      <c r="F13" s="252"/>
      <c r="G13" s="252"/>
      <c r="H13" s="252"/>
      <c r="I13" s="252"/>
      <c r="J13" s="252"/>
      <c r="K13" s="252"/>
      <c r="L13" s="252"/>
      <c r="M13" s="252"/>
      <c r="N13" s="252"/>
      <c r="O13" s="252"/>
      <c r="P13" s="252"/>
      <c r="Q13" s="252"/>
      <c r="R13" s="252"/>
      <c r="S13" s="252"/>
      <c r="T13" s="110"/>
      <c r="U13" s="110"/>
      <c r="V13" s="110"/>
      <c r="W13" s="110"/>
      <c r="X13" s="110"/>
      <c r="Y13" s="110"/>
      <c r="Z13" s="110"/>
      <c r="AA13" s="110"/>
      <c r="AB13" s="110"/>
    </row>
    <row r="14" spans="1:28" s="113" customFormat="1" ht="15.75" x14ac:dyDescent="0.2">
      <c r="A14" s="249" t="str">
        <f>'1. паспорт местоположение'!A15:C15</f>
        <v>Приобретение оборудования в рамках Программы подготовки к ОЗП 2020/2021 гг.</v>
      </c>
      <c r="B14" s="249"/>
      <c r="C14" s="249"/>
      <c r="D14" s="249"/>
      <c r="E14" s="249"/>
      <c r="F14" s="249"/>
      <c r="G14" s="249"/>
      <c r="H14" s="249"/>
      <c r="I14" s="249"/>
      <c r="J14" s="249"/>
      <c r="K14" s="249"/>
      <c r="L14" s="249"/>
      <c r="M14" s="249"/>
      <c r="N14" s="249"/>
      <c r="O14" s="249"/>
      <c r="P14" s="249"/>
      <c r="Q14" s="249"/>
      <c r="R14" s="249"/>
      <c r="S14" s="249"/>
      <c r="T14" s="112"/>
      <c r="U14" s="112"/>
      <c r="V14" s="112"/>
      <c r="W14" s="112"/>
      <c r="X14" s="112"/>
      <c r="Y14" s="112"/>
      <c r="Z14" s="112"/>
      <c r="AA14" s="112"/>
      <c r="AB14" s="112"/>
    </row>
    <row r="15" spans="1:28" s="113" customFormat="1" ht="15.75" x14ac:dyDescent="0.2">
      <c r="A15" s="250" t="s">
        <v>2</v>
      </c>
      <c r="B15" s="250"/>
      <c r="C15" s="250"/>
      <c r="D15" s="250"/>
      <c r="E15" s="250"/>
      <c r="F15" s="250"/>
      <c r="G15" s="250"/>
      <c r="H15" s="250"/>
      <c r="I15" s="250"/>
      <c r="J15" s="250"/>
      <c r="K15" s="250"/>
      <c r="L15" s="250"/>
      <c r="M15" s="250"/>
      <c r="N15" s="250"/>
      <c r="O15" s="250"/>
      <c r="P15" s="250"/>
      <c r="Q15" s="250"/>
      <c r="R15" s="250"/>
      <c r="S15" s="250"/>
      <c r="T15" s="114"/>
      <c r="U15" s="114"/>
      <c r="V15" s="114"/>
      <c r="W15" s="114"/>
      <c r="X15" s="114"/>
      <c r="Y15" s="114"/>
      <c r="Z15" s="114"/>
      <c r="AA15" s="114"/>
      <c r="AB15" s="114"/>
    </row>
    <row r="16" spans="1:28" s="113" customFormat="1" ht="18.75" x14ac:dyDescent="0.2">
      <c r="A16" s="253"/>
      <c r="B16" s="253"/>
      <c r="C16" s="253"/>
      <c r="D16" s="253"/>
      <c r="E16" s="253"/>
      <c r="F16" s="253"/>
      <c r="G16" s="253"/>
      <c r="H16" s="253"/>
      <c r="I16" s="253"/>
      <c r="J16" s="253"/>
      <c r="K16" s="253"/>
      <c r="L16" s="253"/>
      <c r="M16" s="253"/>
      <c r="N16" s="253"/>
      <c r="O16" s="253"/>
      <c r="P16" s="253"/>
      <c r="Q16" s="253"/>
      <c r="R16" s="253"/>
      <c r="S16" s="253"/>
      <c r="T16" s="115"/>
      <c r="U16" s="115"/>
      <c r="V16" s="115"/>
      <c r="W16" s="115"/>
      <c r="X16" s="115"/>
      <c r="Y16" s="115"/>
    </row>
    <row r="17" spans="1:28" s="117" customFormat="1" ht="18.75" x14ac:dyDescent="0.2">
      <c r="A17" s="255" t="s">
        <v>209</v>
      </c>
      <c r="B17" s="255"/>
      <c r="C17" s="255"/>
      <c r="D17" s="255"/>
      <c r="E17" s="255"/>
      <c r="F17" s="255"/>
      <c r="G17" s="255"/>
      <c r="H17" s="255"/>
      <c r="I17" s="255"/>
      <c r="J17" s="255"/>
      <c r="K17" s="255"/>
      <c r="L17" s="255"/>
      <c r="M17" s="255"/>
      <c r="N17" s="255"/>
      <c r="O17" s="255"/>
      <c r="P17" s="255"/>
      <c r="Q17" s="255"/>
      <c r="R17" s="255"/>
      <c r="S17" s="255"/>
      <c r="T17" s="116"/>
      <c r="U17" s="116"/>
      <c r="V17" s="116"/>
      <c r="W17" s="116"/>
      <c r="X17" s="116"/>
      <c r="Y17" s="116"/>
      <c r="Z17" s="116"/>
      <c r="AA17" s="116"/>
      <c r="AB17" s="116"/>
    </row>
    <row r="18" spans="1:28" s="117" customFormat="1" ht="18.75" x14ac:dyDescent="0.2">
      <c r="A18" s="256"/>
      <c r="B18" s="256"/>
      <c r="C18" s="256"/>
      <c r="D18" s="256"/>
      <c r="E18" s="256"/>
      <c r="F18" s="256"/>
      <c r="G18" s="256"/>
      <c r="H18" s="256"/>
      <c r="I18" s="256"/>
      <c r="J18" s="256"/>
      <c r="K18" s="256"/>
      <c r="L18" s="256"/>
      <c r="M18" s="256"/>
      <c r="N18" s="256"/>
      <c r="O18" s="256"/>
      <c r="P18" s="256"/>
      <c r="Q18" s="256"/>
      <c r="R18" s="256"/>
      <c r="S18" s="256"/>
      <c r="T18" s="118"/>
      <c r="U18" s="118"/>
      <c r="V18" s="118"/>
      <c r="W18" s="118"/>
      <c r="X18" s="118"/>
      <c r="Y18" s="118"/>
    </row>
    <row r="19" spans="1:28" s="117" customFormat="1" ht="18.75" x14ac:dyDescent="0.2">
      <c r="A19" s="251" t="s">
        <v>1</v>
      </c>
      <c r="B19" s="251" t="s">
        <v>210</v>
      </c>
      <c r="C19" s="257" t="s">
        <v>211</v>
      </c>
      <c r="D19" s="251" t="s">
        <v>212</v>
      </c>
      <c r="E19" s="251" t="s">
        <v>213</v>
      </c>
      <c r="F19" s="251" t="s">
        <v>214</v>
      </c>
      <c r="G19" s="251" t="s">
        <v>215</v>
      </c>
      <c r="H19" s="251" t="s">
        <v>216</v>
      </c>
      <c r="I19" s="251" t="s">
        <v>217</v>
      </c>
      <c r="J19" s="251" t="s">
        <v>218</v>
      </c>
      <c r="K19" s="251" t="s">
        <v>219</v>
      </c>
      <c r="L19" s="251" t="s">
        <v>220</v>
      </c>
      <c r="M19" s="251" t="s">
        <v>221</v>
      </c>
      <c r="N19" s="251" t="s">
        <v>222</v>
      </c>
      <c r="O19" s="251" t="s">
        <v>223</v>
      </c>
      <c r="P19" s="251" t="s">
        <v>224</v>
      </c>
      <c r="Q19" s="251" t="s">
        <v>225</v>
      </c>
      <c r="R19" s="251"/>
      <c r="S19" s="254" t="s">
        <v>226</v>
      </c>
      <c r="T19" s="118"/>
      <c r="U19" s="118"/>
      <c r="V19" s="118"/>
      <c r="W19" s="118"/>
      <c r="X19" s="118"/>
      <c r="Y19" s="118"/>
    </row>
    <row r="20" spans="1:28" s="117" customFormat="1" ht="157.5" x14ac:dyDescent="0.2">
      <c r="A20" s="251"/>
      <c r="B20" s="251"/>
      <c r="C20" s="258"/>
      <c r="D20" s="251"/>
      <c r="E20" s="251"/>
      <c r="F20" s="251"/>
      <c r="G20" s="251"/>
      <c r="H20" s="251"/>
      <c r="I20" s="251"/>
      <c r="J20" s="251"/>
      <c r="K20" s="251"/>
      <c r="L20" s="251"/>
      <c r="M20" s="251"/>
      <c r="N20" s="251"/>
      <c r="O20" s="251"/>
      <c r="P20" s="251"/>
      <c r="Q20" s="119" t="s">
        <v>227</v>
      </c>
      <c r="R20" s="120" t="s">
        <v>228</v>
      </c>
      <c r="S20" s="254"/>
      <c r="T20" s="121"/>
      <c r="U20" s="121"/>
      <c r="V20" s="121"/>
      <c r="W20" s="121"/>
      <c r="X20" s="121"/>
      <c r="Y20" s="121"/>
      <c r="Z20" s="122"/>
      <c r="AA20" s="122"/>
      <c r="AB20" s="122"/>
    </row>
    <row r="21" spans="1:28" s="117" customFormat="1" ht="18.75" x14ac:dyDescent="0.2">
      <c r="A21" s="119">
        <v>1</v>
      </c>
      <c r="B21" s="123">
        <v>2</v>
      </c>
      <c r="C21" s="119">
        <v>3</v>
      </c>
      <c r="D21" s="123">
        <v>4</v>
      </c>
      <c r="E21" s="119">
        <v>5</v>
      </c>
      <c r="F21" s="123">
        <v>6</v>
      </c>
      <c r="G21" s="119">
        <v>7</v>
      </c>
      <c r="H21" s="123">
        <v>8</v>
      </c>
      <c r="I21" s="119">
        <v>9</v>
      </c>
      <c r="J21" s="123">
        <v>10</v>
      </c>
      <c r="K21" s="119">
        <v>11</v>
      </c>
      <c r="L21" s="123">
        <v>12</v>
      </c>
      <c r="M21" s="119">
        <v>13</v>
      </c>
      <c r="N21" s="123">
        <v>14</v>
      </c>
      <c r="O21" s="119">
        <v>15</v>
      </c>
      <c r="P21" s="123">
        <v>16</v>
      </c>
      <c r="Q21" s="119">
        <v>17</v>
      </c>
      <c r="R21" s="123">
        <v>18</v>
      </c>
      <c r="S21" s="119">
        <v>19</v>
      </c>
      <c r="T21" s="121"/>
      <c r="U21" s="121"/>
      <c r="V21" s="121"/>
      <c r="W21" s="121"/>
      <c r="X21" s="121"/>
      <c r="Y21" s="121"/>
      <c r="Z21" s="122"/>
      <c r="AA21" s="122"/>
      <c r="AB21" s="122"/>
    </row>
    <row r="22" spans="1:28" s="117" customFormat="1" ht="18.75" x14ac:dyDescent="0.2">
      <c r="A22" s="119"/>
      <c r="B22" s="123" t="s">
        <v>229</v>
      </c>
      <c r="C22" s="123" t="s">
        <v>229</v>
      </c>
      <c r="D22" s="123" t="s">
        <v>229</v>
      </c>
      <c r="E22" s="123" t="s">
        <v>229</v>
      </c>
      <c r="F22" s="123" t="s">
        <v>229</v>
      </c>
      <c r="G22" s="123" t="s">
        <v>229</v>
      </c>
      <c r="H22" s="123" t="s">
        <v>229</v>
      </c>
      <c r="I22" s="123" t="s">
        <v>229</v>
      </c>
      <c r="J22" s="123" t="s">
        <v>229</v>
      </c>
      <c r="K22" s="123" t="s">
        <v>229</v>
      </c>
      <c r="L22" s="123" t="s">
        <v>229</v>
      </c>
      <c r="M22" s="123" t="s">
        <v>229</v>
      </c>
      <c r="N22" s="123" t="s">
        <v>229</v>
      </c>
      <c r="O22" s="123" t="s">
        <v>229</v>
      </c>
      <c r="P22" s="123" t="s">
        <v>229</v>
      </c>
      <c r="Q22" s="123" t="s">
        <v>229</v>
      </c>
      <c r="R22" s="123" t="s">
        <v>229</v>
      </c>
      <c r="S22" s="123" t="s">
        <v>229</v>
      </c>
      <c r="T22" s="121"/>
      <c r="U22" s="121"/>
      <c r="V22" s="121"/>
      <c r="W22" s="121"/>
      <c r="X22" s="121"/>
      <c r="Y22" s="121"/>
      <c r="Z22" s="122"/>
      <c r="AA22" s="122"/>
      <c r="AB22" s="122"/>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8:S18"/>
    <mergeCell ref="A19:A20"/>
    <mergeCell ref="B19:B20"/>
    <mergeCell ref="C19:C20"/>
    <mergeCell ref="D19:D20"/>
    <mergeCell ref="I19:I20"/>
    <mergeCell ref="J19:J20"/>
    <mergeCell ref="K19:K20"/>
    <mergeCell ref="L19:L20"/>
    <mergeCell ref="O19:O20"/>
    <mergeCell ref="P19:P20"/>
    <mergeCell ref="A10:S10"/>
    <mergeCell ref="E19:E20"/>
    <mergeCell ref="F19:F20"/>
    <mergeCell ref="G19:G20"/>
    <mergeCell ref="H19:H20"/>
    <mergeCell ref="A11:S11"/>
    <mergeCell ref="A12:S12"/>
    <mergeCell ref="A13:S13"/>
    <mergeCell ref="A14:S14"/>
    <mergeCell ref="A15:S15"/>
    <mergeCell ref="A16:S16"/>
    <mergeCell ref="Q19:R19"/>
    <mergeCell ref="S19:S20"/>
    <mergeCell ref="M19:M20"/>
    <mergeCell ref="N19:N20"/>
    <mergeCell ref="A17:S17"/>
    <mergeCell ref="A4:S4"/>
    <mergeCell ref="A6:S6"/>
    <mergeCell ref="A7:S7"/>
    <mergeCell ref="A8:S8"/>
    <mergeCell ref="A9:S9"/>
  </mergeCells>
  <phoneticPr fontId="7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70" zoomScaleNormal="70" workbookViewId="0">
      <selection activeCell="A7" sqref="A7"/>
    </sheetView>
  </sheetViews>
  <sheetFormatPr defaultColWidth="9.140625" defaultRowHeight="15.75" x14ac:dyDescent="0.25"/>
  <cols>
    <col min="1" max="16384" width="9.140625" style="124"/>
  </cols>
  <sheetData>
    <row r="2" spans="1:256" ht="18.75" x14ac:dyDescent="0.25">
      <c r="T2" s="89" t="s">
        <v>22</v>
      </c>
    </row>
    <row r="3" spans="1:256" ht="18.75" x14ac:dyDescent="0.3">
      <c r="A3" s="88"/>
      <c r="B3" s="125"/>
      <c r="C3" s="125"/>
      <c r="D3" s="125"/>
      <c r="E3" s="125"/>
      <c r="F3" s="125"/>
      <c r="G3" s="125"/>
      <c r="H3" s="125"/>
      <c r="I3" s="125"/>
      <c r="J3" s="125"/>
      <c r="K3" s="125"/>
      <c r="L3" s="125"/>
      <c r="M3" s="125"/>
      <c r="N3" s="125"/>
      <c r="O3" s="125"/>
      <c r="P3" s="125"/>
      <c r="Q3" s="125"/>
      <c r="R3" s="125"/>
      <c r="S3" s="125"/>
      <c r="T3" s="90" t="s">
        <v>6</v>
      </c>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row>
    <row r="4" spans="1:256" ht="18.75" x14ac:dyDescent="0.3">
      <c r="A4" s="88"/>
      <c r="B4" s="125"/>
      <c r="C4" s="125"/>
      <c r="D4" s="125"/>
      <c r="E4" s="125"/>
      <c r="F4" s="125"/>
      <c r="G4" s="125"/>
      <c r="H4" s="125"/>
      <c r="I4" s="125"/>
      <c r="J4" s="125"/>
      <c r="K4" s="125"/>
      <c r="L4" s="125"/>
      <c r="M4" s="125"/>
      <c r="N4" s="125"/>
      <c r="O4" s="125"/>
      <c r="P4" s="125"/>
      <c r="Q4" s="125"/>
      <c r="R4" s="125"/>
      <c r="S4" s="125"/>
      <c r="T4" s="90" t="s">
        <v>21</v>
      </c>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row>
    <row r="5" spans="1:256" ht="18.75" x14ac:dyDescent="0.3">
      <c r="A5" s="88"/>
      <c r="B5" s="125"/>
      <c r="C5" s="125"/>
      <c r="D5" s="125"/>
      <c r="E5" s="125"/>
      <c r="F5" s="125"/>
      <c r="G5" s="125"/>
      <c r="H5" s="125"/>
      <c r="I5" s="125"/>
      <c r="J5" s="125"/>
      <c r="K5" s="125"/>
      <c r="L5" s="125"/>
      <c r="M5" s="125"/>
      <c r="N5" s="125"/>
      <c r="O5" s="125"/>
      <c r="P5" s="125"/>
      <c r="Q5" s="125"/>
      <c r="R5" s="125"/>
      <c r="S5" s="125"/>
      <c r="T5" s="90"/>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row>
    <row r="6" spans="1:256" x14ac:dyDescent="0.25">
      <c r="A6" s="238" t="s">
        <v>462</v>
      </c>
      <c r="B6" s="238"/>
      <c r="C6" s="238"/>
      <c r="D6" s="238"/>
      <c r="E6" s="238"/>
      <c r="F6" s="238"/>
      <c r="G6" s="238"/>
      <c r="H6" s="238"/>
      <c r="I6" s="238"/>
      <c r="J6" s="238"/>
      <c r="K6" s="238"/>
      <c r="L6" s="238"/>
      <c r="M6" s="238"/>
      <c r="N6" s="238"/>
      <c r="O6" s="238"/>
      <c r="P6" s="238"/>
      <c r="Q6" s="238"/>
      <c r="R6" s="238"/>
      <c r="S6" s="238"/>
      <c r="T6" s="238"/>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row>
    <row r="7" spans="1:256" x14ac:dyDescent="0.25">
      <c r="A7" s="126"/>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5"/>
      <c r="EG7" s="125"/>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5"/>
      <c r="FZ7" s="125"/>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5"/>
      <c r="HS7" s="125"/>
      <c r="HT7" s="125"/>
      <c r="HU7" s="125"/>
      <c r="HV7" s="125"/>
      <c r="HW7" s="125"/>
      <c r="HX7" s="125"/>
      <c r="HY7" s="125"/>
      <c r="HZ7" s="125"/>
      <c r="IA7" s="125"/>
      <c r="IB7" s="125"/>
      <c r="IC7" s="125"/>
      <c r="ID7" s="125"/>
      <c r="IE7" s="125"/>
      <c r="IF7" s="125"/>
      <c r="IG7" s="125"/>
      <c r="IH7" s="125"/>
      <c r="II7" s="125"/>
      <c r="IJ7" s="125"/>
      <c r="IK7" s="125"/>
      <c r="IL7" s="125"/>
      <c r="IM7" s="125"/>
      <c r="IN7" s="125"/>
      <c r="IO7" s="125"/>
      <c r="IP7" s="125"/>
      <c r="IQ7" s="125"/>
      <c r="IR7" s="125"/>
      <c r="IS7" s="125"/>
      <c r="IT7" s="125"/>
      <c r="IU7" s="125"/>
      <c r="IV7" s="125"/>
    </row>
    <row r="8" spans="1:256" ht="18.75" x14ac:dyDescent="0.25">
      <c r="A8" s="259" t="s">
        <v>5</v>
      </c>
      <c r="B8" s="259"/>
      <c r="C8" s="259"/>
      <c r="D8" s="259"/>
      <c r="E8" s="259"/>
      <c r="F8" s="259"/>
      <c r="G8" s="259"/>
      <c r="H8" s="259"/>
      <c r="I8" s="259"/>
      <c r="J8" s="259"/>
      <c r="K8" s="259"/>
      <c r="L8" s="259"/>
      <c r="M8" s="259"/>
      <c r="N8" s="259"/>
      <c r="O8" s="259"/>
      <c r="P8" s="259"/>
      <c r="Q8" s="259"/>
      <c r="R8" s="259"/>
      <c r="S8" s="259"/>
      <c r="T8" s="259"/>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5"/>
      <c r="HS8" s="125"/>
      <c r="HT8" s="125"/>
      <c r="HU8" s="125"/>
      <c r="HV8" s="125"/>
      <c r="HW8" s="125"/>
      <c r="HX8" s="125"/>
      <c r="HY8" s="125"/>
      <c r="HZ8" s="125"/>
      <c r="IA8" s="125"/>
      <c r="IB8" s="125"/>
      <c r="IC8" s="125"/>
      <c r="ID8" s="125"/>
      <c r="IE8" s="125"/>
      <c r="IF8" s="125"/>
      <c r="IG8" s="125"/>
      <c r="IH8" s="125"/>
      <c r="II8" s="125"/>
      <c r="IJ8" s="125"/>
      <c r="IK8" s="125"/>
      <c r="IL8" s="125"/>
      <c r="IM8" s="125"/>
      <c r="IN8" s="125"/>
      <c r="IO8" s="125"/>
      <c r="IP8" s="125"/>
      <c r="IQ8" s="125"/>
      <c r="IR8" s="125"/>
      <c r="IS8" s="125"/>
      <c r="IT8" s="125"/>
      <c r="IU8" s="125"/>
      <c r="IV8" s="125"/>
    </row>
    <row r="9" spans="1:256" ht="18.75" x14ac:dyDescent="0.25">
      <c r="A9" s="259"/>
      <c r="B9" s="259"/>
      <c r="C9" s="259"/>
      <c r="D9" s="259"/>
      <c r="E9" s="259"/>
      <c r="F9" s="259"/>
      <c r="G9" s="259"/>
      <c r="H9" s="259"/>
      <c r="I9" s="259"/>
      <c r="J9" s="259"/>
      <c r="K9" s="259"/>
      <c r="L9" s="259"/>
      <c r="M9" s="259"/>
      <c r="N9" s="259"/>
      <c r="O9" s="259"/>
      <c r="P9" s="259"/>
      <c r="Q9" s="259"/>
      <c r="R9" s="259"/>
      <c r="S9" s="259"/>
      <c r="T9" s="259"/>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5"/>
      <c r="CN9" s="125"/>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5"/>
      <c r="EG9" s="125"/>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5"/>
      <c r="FZ9" s="125"/>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5"/>
      <c r="HS9" s="125"/>
      <c r="HT9" s="125"/>
      <c r="HU9" s="125"/>
      <c r="HV9" s="125"/>
      <c r="HW9" s="125"/>
      <c r="HX9" s="125"/>
      <c r="HY9" s="125"/>
      <c r="HZ9" s="125"/>
      <c r="IA9" s="125"/>
      <c r="IB9" s="125"/>
      <c r="IC9" s="125"/>
      <c r="ID9" s="125"/>
      <c r="IE9" s="125"/>
      <c r="IF9" s="125"/>
      <c r="IG9" s="125"/>
      <c r="IH9" s="125"/>
      <c r="II9" s="125"/>
      <c r="IJ9" s="125"/>
      <c r="IK9" s="125"/>
      <c r="IL9" s="125"/>
      <c r="IM9" s="125"/>
      <c r="IN9" s="125"/>
      <c r="IO9" s="125"/>
      <c r="IP9" s="125"/>
      <c r="IQ9" s="125"/>
      <c r="IR9" s="125"/>
      <c r="IS9" s="125"/>
      <c r="IT9" s="125"/>
      <c r="IU9" s="125"/>
      <c r="IV9" s="125"/>
    </row>
    <row r="10" spans="1:256" x14ac:dyDescent="0.25">
      <c r="A10" s="260" t="s">
        <v>230</v>
      </c>
      <c r="B10" s="260"/>
      <c r="C10" s="260"/>
      <c r="D10" s="260"/>
      <c r="E10" s="260"/>
      <c r="F10" s="260"/>
      <c r="G10" s="260"/>
      <c r="H10" s="260"/>
      <c r="I10" s="260"/>
      <c r="J10" s="260"/>
      <c r="K10" s="260"/>
      <c r="L10" s="260"/>
      <c r="M10" s="260"/>
      <c r="N10" s="260"/>
      <c r="O10" s="260"/>
      <c r="P10" s="260"/>
      <c r="Q10" s="260"/>
      <c r="R10" s="260"/>
      <c r="S10" s="260"/>
      <c r="T10" s="260"/>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c r="BC10" s="125"/>
      <c r="BD10" s="125"/>
      <c r="BE10" s="125"/>
      <c r="BF10" s="125"/>
      <c r="BG10" s="125"/>
      <c r="BH10" s="125"/>
      <c r="BI10" s="125"/>
      <c r="BJ10" s="125"/>
      <c r="BK10" s="125"/>
      <c r="BL10" s="125"/>
      <c r="BM10" s="125"/>
      <c r="BN10" s="125"/>
      <c r="BO10" s="125"/>
      <c r="BP10" s="125"/>
      <c r="BQ10" s="125"/>
      <c r="BR10" s="125"/>
      <c r="BS10" s="125"/>
      <c r="BT10" s="125"/>
      <c r="BU10" s="125"/>
      <c r="BV10" s="125"/>
      <c r="BW10" s="125"/>
      <c r="BX10" s="125"/>
      <c r="BY10" s="125"/>
      <c r="BZ10" s="125"/>
      <c r="CA10" s="125"/>
      <c r="CB10" s="125"/>
      <c r="CC10" s="125"/>
      <c r="CD10" s="125"/>
      <c r="CE10" s="125"/>
      <c r="CF10" s="125"/>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5"/>
      <c r="FZ10" s="125"/>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5"/>
      <c r="HS10" s="125"/>
      <c r="HT10" s="125"/>
      <c r="HU10" s="125"/>
      <c r="HV10" s="125"/>
      <c r="HW10" s="125"/>
      <c r="HX10" s="125"/>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row>
    <row r="11" spans="1:256" x14ac:dyDescent="0.25">
      <c r="A11" s="261" t="s">
        <v>4</v>
      </c>
      <c r="B11" s="261"/>
      <c r="C11" s="261"/>
      <c r="D11" s="261"/>
      <c r="E11" s="261"/>
      <c r="F11" s="261"/>
      <c r="G11" s="261"/>
      <c r="H11" s="261"/>
      <c r="I11" s="261"/>
      <c r="J11" s="261"/>
      <c r="K11" s="261"/>
      <c r="L11" s="261"/>
      <c r="M11" s="261"/>
      <c r="N11" s="261"/>
      <c r="O11" s="261"/>
      <c r="P11" s="261"/>
      <c r="Q11" s="261"/>
      <c r="R11" s="261"/>
      <c r="S11" s="261"/>
      <c r="T11" s="261"/>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5"/>
      <c r="CN11" s="125"/>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5"/>
      <c r="EG11" s="125"/>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5"/>
      <c r="FZ11" s="125"/>
      <c r="GA11" s="125"/>
      <c r="GB11" s="125"/>
      <c r="GC11" s="125"/>
      <c r="GD11" s="125"/>
      <c r="GE11" s="125"/>
      <c r="GF11" s="125"/>
      <c r="GG11" s="125"/>
      <c r="GH11" s="125"/>
      <c r="GI11" s="125"/>
      <c r="GJ11" s="125"/>
      <c r="GK11" s="125"/>
      <c r="GL11" s="125"/>
      <c r="GM11" s="125"/>
      <c r="GN11" s="125"/>
      <c r="GO11" s="125"/>
      <c r="GP11" s="125"/>
      <c r="GQ11" s="125"/>
      <c r="GR11" s="125"/>
      <c r="GS11" s="125"/>
      <c r="GT11" s="125"/>
      <c r="GU11" s="125"/>
      <c r="GV11" s="125"/>
      <c r="GW11" s="125"/>
      <c r="GX11" s="125"/>
      <c r="GY11" s="125"/>
      <c r="GZ11" s="125"/>
      <c r="HA11" s="125"/>
      <c r="HB11" s="125"/>
      <c r="HC11" s="125"/>
      <c r="HD11" s="125"/>
      <c r="HE11" s="125"/>
      <c r="HF11" s="125"/>
      <c r="HG11" s="125"/>
      <c r="HH11" s="125"/>
      <c r="HI11" s="125"/>
      <c r="HJ11" s="125"/>
      <c r="HK11" s="125"/>
      <c r="HL11" s="125"/>
      <c r="HM11" s="125"/>
      <c r="HN11" s="125"/>
      <c r="HO11" s="125"/>
      <c r="HP11" s="125"/>
      <c r="HQ11" s="125"/>
      <c r="HR11" s="125"/>
      <c r="HS11" s="125"/>
      <c r="HT11" s="125"/>
      <c r="HU11" s="125"/>
      <c r="HV11" s="125"/>
      <c r="HW11" s="125"/>
      <c r="HX11" s="125"/>
      <c r="HY11" s="125"/>
      <c r="HZ11" s="125"/>
      <c r="IA11" s="125"/>
      <c r="IB11" s="125"/>
      <c r="IC11" s="125"/>
      <c r="ID11" s="125"/>
      <c r="IE11" s="125"/>
      <c r="IF11" s="125"/>
      <c r="IG11" s="125"/>
      <c r="IH11" s="125"/>
      <c r="II11" s="125"/>
      <c r="IJ11" s="125"/>
      <c r="IK11" s="125"/>
      <c r="IL11" s="125"/>
      <c r="IM11" s="125"/>
      <c r="IN11" s="125"/>
      <c r="IO11" s="125"/>
      <c r="IP11" s="125"/>
      <c r="IQ11" s="125"/>
      <c r="IR11" s="125"/>
      <c r="IS11" s="125"/>
      <c r="IT11" s="125"/>
      <c r="IU11" s="125"/>
      <c r="IV11" s="125"/>
    </row>
    <row r="12" spans="1:256" ht="18.75" x14ac:dyDescent="0.25">
      <c r="A12" s="259"/>
      <c r="B12" s="259"/>
      <c r="C12" s="259"/>
      <c r="D12" s="259"/>
      <c r="E12" s="259"/>
      <c r="F12" s="259"/>
      <c r="G12" s="259"/>
      <c r="H12" s="259"/>
      <c r="I12" s="259"/>
      <c r="J12" s="259"/>
      <c r="K12" s="259"/>
      <c r="L12" s="259"/>
      <c r="M12" s="259"/>
      <c r="N12" s="259"/>
      <c r="O12" s="259"/>
      <c r="P12" s="259"/>
      <c r="Q12" s="259"/>
      <c r="R12" s="259"/>
      <c r="S12" s="259"/>
      <c r="T12" s="259"/>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5"/>
      <c r="EG12" s="125"/>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5"/>
      <c r="FZ12" s="125"/>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5"/>
      <c r="HS12" s="125"/>
      <c r="HT12" s="125"/>
      <c r="HU12" s="125"/>
      <c r="HV12" s="125"/>
      <c r="HW12" s="125"/>
      <c r="HX12" s="125"/>
      <c r="HY12" s="125"/>
      <c r="HZ12" s="125"/>
      <c r="IA12" s="125"/>
      <c r="IB12" s="125"/>
      <c r="IC12" s="125"/>
      <c r="ID12" s="125"/>
      <c r="IE12" s="125"/>
      <c r="IF12" s="125"/>
      <c r="IG12" s="125"/>
      <c r="IH12" s="125"/>
      <c r="II12" s="125"/>
      <c r="IJ12" s="125"/>
      <c r="IK12" s="125"/>
      <c r="IL12" s="125"/>
      <c r="IM12" s="125"/>
      <c r="IN12" s="125"/>
      <c r="IO12" s="125"/>
      <c r="IP12" s="125"/>
      <c r="IQ12" s="125"/>
      <c r="IR12" s="125"/>
      <c r="IS12" s="125"/>
      <c r="IT12" s="125"/>
      <c r="IU12" s="125"/>
      <c r="IV12" s="125"/>
    </row>
    <row r="13" spans="1:256" x14ac:dyDescent="0.25">
      <c r="A13" s="260" t="str">
        <f>'1. паспорт местоположение'!A12:C12</f>
        <v>L_Che442_21</v>
      </c>
      <c r="B13" s="260"/>
      <c r="C13" s="260"/>
      <c r="D13" s="260"/>
      <c r="E13" s="260"/>
      <c r="F13" s="260"/>
      <c r="G13" s="260"/>
      <c r="H13" s="260"/>
      <c r="I13" s="260"/>
      <c r="J13" s="260"/>
      <c r="K13" s="260"/>
      <c r="L13" s="260"/>
      <c r="M13" s="260"/>
      <c r="N13" s="260"/>
      <c r="O13" s="260"/>
      <c r="P13" s="260"/>
      <c r="Q13" s="260"/>
      <c r="R13" s="260"/>
      <c r="S13" s="260"/>
      <c r="T13" s="260"/>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5"/>
      <c r="BK13" s="125"/>
      <c r="BL13" s="125"/>
      <c r="BM13" s="125"/>
      <c r="BN13" s="125"/>
      <c r="BO13" s="125"/>
      <c r="BP13" s="125"/>
      <c r="BQ13" s="125"/>
      <c r="BR13" s="125"/>
      <c r="BS13" s="125"/>
      <c r="BT13" s="125"/>
      <c r="BU13" s="125"/>
      <c r="BV13" s="125"/>
      <c r="BW13" s="125"/>
      <c r="BX13" s="125"/>
      <c r="BY13" s="125"/>
      <c r="BZ13" s="125"/>
      <c r="CA13" s="125"/>
      <c r="CB13" s="125"/>
      <c r="CC13" s="125"/>
      <c r="CD13" s="125"/>
      <c r="CE13" s="125"/>
      <c r="CF13" s="125"/>
      <c r="CG13" s="125"/>
      <c r="CH13" s="125"/>
      <c r="CI13" s="125"/>
      <c r="CJ13" s="125"/>
      <c r="CK13" s="125"/>
      <c r="CL13" s="125"/>
      <c r="CM13" s="125"/>
      <c r="CN13" s="125"/>
      <c r="CO13" s="125"/>
      <c r="CP13" s="125"/>
      <c r="CQ13" s="125"/>
      <c r="CR13" s="125"/>
      <c r="CS13" s="125"/>
      <c r="CT13" s="125"/>
      <c r="CU13" s="125"/>
      <c r="CV13" s="125"/>
      <c r="CW13" s="125"/>
      <c r="CX13" s="125"/>
      <c r="CY13" s="125"/>
      <c r="CZ13" s="125"/>
      <c r="DA13" s="125"/>
      <c r="DB13" s="125"/>
      <c r="DC13" s="125"/>
      <c r="DD13" s="125"/>
      <c r="DE13" s="125"/>
      <c r="DF13" s="125"/>
      <c r="DG13" s="125"/>
      <c r="DH13" s="125"/>
      <c r="DI13" s="125"/>
      <c r="DJ13" s="125"/>
      <c r="DK13" s="125"/>
      <c r="DL13" s="125"/>
      <c r="DM13" s="125"/>
      <c r="DN13" s="125"/>
      <c r="DO13" s="125"/>
      <c r="DP13" s="125"/>
      <c r="DQ13" s="125"/>
      <c r="DR13" s="125"/>
      <c r="DS13" s="125"/>
      <c r="DT13" s="125"/>
      <c r="DU13" s="125"/>
      <c r="DV13" s="125"/>
      <c r="DW13" s="125"/>
      <c r="DX13" s="125"/>
      <c r="DY13" s="125"/>
      <c r="DZ13" s="125"/>
      <c r="EA13" s="125"/>
      <c r="EB13" s="125"/>
      <c r="EC13" s="125"/>
      <c r="ED13" s="125"/>
      <c r="EE13" s="125"/>
      <c r="EF13" s="125"/>
      <c r="EG13" s="125"/>
      <c r="EH13" s="125"/>
      <c r="EI13" s="125"/>
      <c r="EJ13" s="125"/>
      <c r="EK13" s="125"/>
      <c r="EL13" s="125"/>
      <c r="EM13" s="125"/>
      <c r="EN13" s="125"/>
      <c r="EO13" s="125"/>
      <c r="EP13" s="125"/>
      <c r="EQ13" s="125"/>
      <c r="ER13" s="125"/>
      <c r="ES13" s="125"/>
      <c r="ET13" s="125"/>
      <c r="EU13" s="125"/>
      <c r="EV13" s="125"/>
      <c r="EW13" s="125"/>
      <c r="EX13" s="125"/>
      <c r="EY13" s="125"/>
      <c r="EZ13" s="125"/>
      <c r="FA13" s="125"/>
      <c r="FB13" s="125"/>
      <c r="FC13" s="125"/>
      <c r="FD13" s="125"/>
      <c r="FE13" s="125"/>
      <c r="FF13" s="125"/>
      <c r="FG13" s="125"/>
      <c r="FH13" s="125"/>
      <c r="FI13" s="125"/>
      <c r="FJ13" s="125"/>
      <c r="FK13" s="125"/>
      <c r="FL13" s="125"/>
      <c r="FM13" s="125"/>
      <c r="FN13" s="125"/>
      <c r="FO13" s="125"/>
      <c r="FP13" s="125"/>
      <c r="FQ13" s="125"/>
      <c r="FR13" s="125"/>
      <c r="FS13" s="125"/>
      <c r="FT13" s="125"/>
      <c r="FU13" s="125"/>
      <c r="FV13" s="125"/>
      <c r="FW13" s="125"/>
      <c r="FX13" s="125"/>
      <c r="FY13" s="125"/>
      <c r="FZ13" s="125"/>
      <c r="GA13" s="125"/>
      <c r="GB13" s="125"/>
      <c r="GC13" s="125"/>
      <c r="GD13" s="125"/>
      <c r="GE13" s="125"/>
      <c r="GF13" s="125"/>
      <c r="GG13" s="125"/>
      <c r="GH13" s="125"/>
      <c r="GI13" s="125"/>
      <c r="GJ13" s="125"/>
      <c r="GK13" s="125"/>
      <c r="GL13" s="125"/>
      <c r="GM13" s="125"/>
      <c r="GN13" s="125"/>
      <c r="GO13" s="125"/>
      <c r="GP13" s="125"/>
      <c r="GQ13" s="125"/>
      <c r="GR13" s="125"/>
      <c r="GS13" s="125"/>
      <c r="GT13" s="125"/>
      <c r="GU13" s="125"/>
      <c r="GV13" s="125"/>
      <c r="GW13" s="125"/>
      <c r="GX13" s="125"/>
      <c r="GY13" s="125"/>
      <c r="GZ13" s="125"/>
      <c r="HA13" s="125"/>
      <c r="HB13" s="125"/>
      <c r="HC13" s="125"/>
      <c r="HD13" s="125"/>
      <c r="HE13" s="125"/>
      <c r="HF13" s="125"/>
      <c r="HG13" s="125"/>
      <c r="HH13" s="125"/>
      <c r="HI13" s="125"/>
      <c r="HJ13" s="125"/>
      <c r="HK13" s="125"/>
      <c r="HL13" s="125"/>
      <c r="HM13" s="125"/>
      <c r="HN13" s="125"/>
      <c r="HO13" s="125"/>
      <c r="HP13" s="125"/>
      <c r="HQ13" s="125"/>
      <c r="HR13" s="125"/>
      <c r="HS13" s="125"/>
      <c r="HT13" s="125"/>
      <c r="HU13" s="125"/>
      <c r="HV13" s="125"/>
      <c r="HW13" s="125"/>
      <c r="HX13" s="125"/>
      <c r="HY13" s="125"/>
      <c r="HZ13" s="125"/>
      <c r="IA13" s="125"/>
      <c r="IB13" s="125"/>
      <c r="IC13" s="125"/>
      <c r="ID13" s="125"/>
      <c r="IE13" s="125"/>
      <c r="IF13" s="125"/>
      <c r="IG13" s="125"/>
      <c r="IH13" s="125"/>
      <c r="II13" s="125"/>
      <c r="IJ13" s="125"/>
      <c r="IK13" s="125"/>
      <c r="IL13" s="125"/>
      <c r="IM13" s="125"/>
      <c r="IN13" s="125"/>
      <c r="IO13" s="125"/>
      <c r="IP13" s="125"/>
      <c r="IQ13" s="125"/>
      <c r="IR13" s="125"/>
      <c r="IS13" s="125"/>
      <c r="IT13" s="125"/>
      <c r="IU13" s="125"/>
      <c r="IV13" s="125"/>
    </row>
    <row r="14" spans="1:256" x14ac:dyDescent="0.25">
      <c r="A14" s="261" t="s">
        <v>3</v>
      </c>
      <c r="B14" s="261"/>
      <c r="C14" s="261"/>
      <c r="D14" s="261"/>
      <c r="E14" s="261"/>
      <c r="F14" s="261"/>
      <c r="G14" s="261"/>
      <c r="H14" s="261"/>
      <c r="I14" s="261"/>
      <c r="J14" s="261"/>
      <c r="K14" s="261"/>
      <c r="L14" s="261"/>
      <c r="M14" s="261"/>
      <c r="N14" s="261"/>
      <c r="O14" s="261"/>
      <c r="P14" s="261"/>
      <c r="Q14" s="261"/>
      <c r="R14" s="261"/>
      <c r="S14" s="261"/>
      <c r="T14" s="261"/>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c r="BO14" s="125"/>
      <c r="BP14" s="125"/>
      <c r="BQ14" s="125"/>
      <c r="BR14" s="125"/>
      <c r="BS14" s="125"/>
      <c r="BT14" s="125"/>
      <c r="BU14" s="125"/>
      <c r="BV14" s="125"/>
      <c r="BW14" s="125"/>
      <c r="BX14" s="125"/>
      <c r="BY14" s="125"/>
      <c r="BZ14" s="125"/>
      <c r="CA14" s="125"/>
      <c r="CB14" s="125"/>
      <c r="CC14" s="125"/>
      <c r="CD14" s="125"/>
      <c r="CE14" s="125"/>
      <c r="CF14" s="125"/>
      <c r="CG14" s="125"/>
      <c r="CH14" s="125"/>
      <c r="CI14" s="125"/>
      <c r="CJ14" s="125"/>
      <c r="CK14" s="125"/>
      <c r="CL14" s="125"/>
      <c r="CM14" s="125"/>
      <c r="CN14" s="125"/>
      <c r="CO14" s="125"/>
      <c r="CP14" s="125"/>
      <c r="CQ14" s="125"/>
      <c r="CR14" s="125"/>
      <c r="CS14" s="125"/>
      <c r="CT14" s="125"/>
      <c r="CU14" s="125"/>
      <c r="CV14" s="125"/>
      <c r="CW14" s="125"/>
      <c r="CX14" s="125"/>
      <c r="CY14" s="125"/>
      <c r="CZ14" s="125"/>
      <c r="DA14" s="125"/>
      <c r="DB14" s="125"/>
      <c r="DC14" s="125"/>
      <c r="DD14" s="125"/>
      <c r="DE14" s="125"/>
      <c r="DF14" s="125"/>
      <c r="DG14" s="125"/>
      <c r="DH14" s="125"/>
      <c r="DI14" s="125"/>
      <c r="DJ14" s="125"/>
      <c r="DK14" s="125"/>
      <c r="DL14" s="125"/>
      <c r="DM14" s="125"/>
      <c r="DN14" s="125"/>
      <c r="DO14" s="125"/>
      <c r="DP14" s="125"/>
      <c r="DQ14" s="125"/>
      <c r="DR14" s="125"/>
      <c r="DS14" s="125"/>
      <c r="DT14" s="125"/>
      <c r="DU14" s="125"/>
      <c r="DV14" s="125"/>
      <c r="DW14" s="125"/>
      <c r="DX14" s="125"/>
      <c r="DY14" s="125"/>
      <c r="DZ14" s="125"/>
      <c r="EA14" s="125"/>
      <c r="EB14" s="125"/>
      <c r="EC14" s="125"/>
      <c r="ED14" s="125"/>
      <c r="EE14" s="125"/>
      <c r="EF14" s="125"/>
      <c r="EG14" s="125"/>
      <c r="EH14" s="125"/>
      <c r="EI14" s="125"/>
      <c r="EJ14" s="125"/>
      <c r="EK14" s="125"/>
      <c r="EL14" s="125"/>
      <c r="EM14" s="125"/>
      <c r="EN14" s="125"/>
      <c r="EO14" s="125"/>
      <c r="EP14" s="125"/>
      <c r="EQ14" s="125"/>
      <c r="ER14" s="125"/>
      <c r="ES14" s="125"/>
      <c r="ET14" s="125"/>
      <c r="EU14" s="125"/>
      <c r="EV14" s="125"/>
      <c r="EW14" s="125"/>
      <c r="EX14" s="125"/>
      <c r="EY14" s="125"/>
      <c r="EZ14" s="125"/>
      <c r="FA14" s="125"/>
      <c r="FB14" s="125"/>
      <c r="FC14" s="125"/>
      <c r="FD14" s="125"/>
      <c r="FE14" s="125"/>
      <c r="FF14" s="125"/>
      <c r="FG14" s="125"/>
      <c r="FH14" s="125"/>
      <c r="FI14" s="125"/>
      <c r="FJ14" s="125"/>
      <c r="FK14" s="125"/>
      <c r="FL14" s="125"/>
      <c r="FM14" s="125"/>
      <c r="FN14" s="125"/>
      <c r="FO14" s="125"/>
      <c r="FP14" s="125"/>
      <c r="FQ14" s="125"/>
      <c r="FR14" s="125"/>
      <c r="FS14" s="125"/>
      <c r="FT14" s="125"/>
      <c r="FU14" s="125"/>
      <c r="FV14" s="125"/>
      <c r="FW14" s="125"/>
      <c r="FX14" s="125"/>
      <c r="FY14" s="125"/>
      <c r="FZ14" s="125"/>
      <c r="GA14" s="125"/>
      <c r="GB14" s="125"/>
      <c r="GC14" s="125"/>
      <c r="GD14" s="125"/>
      <c r="GE14" s="125"/>
      <c r="GF14" s="125"/>
      <c r="GG14" s="125"/>
      <c r="GH14" s="125"/>
      <c r="GI14" s="125"/>
      <c r="GJ14" s="125"/>
      <c r="GK14" s="125"/>
      <c r="GL14" s="125"/>
      <c r="GM14" s="125"/>
      <c r="GN14" s="125"/>
      <c r="GO14" s="125"/>
      <c r="GP14" s="125"/>
      <c r="GQ14" s="125"/>
      <c r="GR14" s="125"/>
      <c r="GS14" s="125"/>
      <c r="GT14" s="125"/>
      <c r="GU14" s="125"/>
      <c r="GV14" s="125"/>
      <c r="GW14" s="125"/>
      <c r="GX14" s="125"/>
      <c r="GY14" s="125"/>
      <c r="GZ14" s="125"/>
      <c r="HA14" s="125"/>
      <c r="HB14" s="125"/>
      <c r="HC14" s="125"/>
      <c r="HD14" s="125"/>
      <c r="HE14" s="125"/>
      <c r="HF14" s="125"/>
      <c r="HG14" s="125"/>
      <c r="HH14" s="125"/>
      <c r="HI14" s="125"/>
      <c r="HJ14" s="125"/>
      <c r="HK14" s="125"/>
      <c r="HL14" s="125"/>
      <c r="HM14" s="125"/>
      <c r="HN14" s="125"/>
      <c r="HO14" s="125"/>
      <c r="HP14" s="125"/>
      <c r="HQ14" s="125"/>
      <c r="HR14" s="125"/>
      <c r="HS14" s="125"/>
      <c r="HT14" s="125"/>
      <c r="HU14" s="125"/>
      <c r="HV14" s="125"/>
      <c r="HW14" s="125"/>
      <c r="HX14" s="125"/>
      <c r="HY14" s="125"/>
      <c r="HZ14" s="125"/>
      <c r="IA14" s="125"/>
      <c r="IB14" s="125"/>
      <c r="IC14" s="125"/>
      <c r="ID14" s="125"/>
      <c r="IE14" s="125"/>
      <c r="IF14" s="125"/>
      <c r="IG14" s="125"/>
      <c r="IH14" s="125"/>
      <c r="II14" s="125"/>
      <c r="IJ14" s="125"/>
      <c r="IK14" s="125"/>
      <c r="IL14" s="125"/>
      <c r="IM14" s="125"/>
      <c r="IN14" s="125"/>
      <c r="IO14" s="125"/>
      <c r="IP14" s="125"/>
      <c r="IQ14" s="125"/>
      <c r="IR14" s="125"/>
      <c r="IS14" s="125"/>
      <c r="IT14" s="125"/>
      <c r="IU14" s="125"/>
      <c r="IV14" s="125"/>
    </row>
    <row r="15" spans="1:256" ht="18.75" x14ac:dyDescent="0.25">
      <c r="A15" s="270"/>
      <c r="B15" s="270"/>
      <c r="C15" s="270"/>
      <c r="D15" s="270"/>
      <c r="E15" s="270"/>
      <c r="F15" s="270"/>
      <c r="G15" s="270"/>
      <c r="H15" s="270"/>
      <c r="I15" s="270"/>
      <c r="J15" s="270"/>
      <c r="K15" s="270"/>
      <c r="L15" s="270"/>
      <c r="M15" s="270"/>
      <c r="N15" s="270"/>
      <c r="O15" s="270"/>
      <c r="P15" s="270"/>
      <c r="Q15" s="270"/>
      <c r="R15" s="270"/>
      <c r="S15" s="270"/>
      <c r="T15" s="270"/>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c r="BZ15" s="127"/>
      <c r="CA15" s="127"/>
      <c r="CB15" s="127"/>
      <c r="CC15" s="127"/>
      <c r="CD15" s="127"/>
      <c r="CE15" s="127"/>
      <c r="CF15" s="127"/>
      <c r="CG15" s="127"/>
      <c r="CH15" s="127"/>
      <c r="CI15" s="127"/>
      <c r="CJ15" s="127"/>
      <c r="CK15" s="127"/>
      <c r="CL15" s="127"/>
      <c r="CM15" s="127"/>
      <c r="CN15" s="127"/>
      <c r="CO15" s="127"/>
      <c r="CP15" s="127"/>
      <c r="CQ15" s="127"/>
      <c r="CR15" s="127"/>
      <c r="CS15" s="127"/>
      <c r="CT15" s="127"/>
      <c r="CU15" s="127"/>
      <c r="CV15" s="127"/>
      <c r="CW15" s="127"/>
      <c r="CX15" s="127"/>
      <c r="CY15" s="127"/>
      <c r="CZ15" s="127"/>
      <c r="DA15" s="127"/>
      <c r="DB15" s="127"/>
      <c r="DC15" s="127"/>
      <c r="DD15" s="127"/>
      <c r="DE15" s="127"/>
      <c r="DF15" s="127"/>
      <c r="DG15" s="127"/>
      <c r="DH15" s="127"/>
      <c r="DI15" s="127"/>
      <c r="DJ15" s="127"/>
      <c r="DK15" s="127"/>
      <c r="DL15" s="127"/>
      <c r="DM15" s="127"/>
      <c r="DN15" s="127"/>
      <c r="DO15" s="127"/>
      <c r="DP15" s="127"/>
      <c r="DQ15" s="127"/>
      <c r="DR15" s="127"/>
      <c r="DS15" s="127"/>
      <c r="DT15" s="127"/>
      <c r="DU15" s="127"/>
      <c r="DV15" s="127"/>
      <c r="DW15" s="127"/>
      <c r="DX15" s="127"/>
      <c r="DY15" s="127"/>
      <c r="DZ15" s="127"/>
      <c r="EA15" s="127"/>
      <c r="EB15" s="127"/>
      <c r="EC15" s="127"/>
      <c r="ED15" s="127"/>
      <c r="EE15" s="127"/>
      <c r="EF15" s="127"/>
      <c r="EG15" s="127"/>
      <c r="EH15" s="127"/>
      <c r="EI15" s="127"/>
      <c r="EJ15" s="127"/>
      <c r="EK15" s="127"/>
      <c r="EL15" s="127"/>
      <c r="EM15" s="127"/>
      <c r="EN15" s="127"/>
      <c r="EO15" s="127"/>
      <c r="EP15" s="127"/>
      <c r="EQ15" s="127"/>
      <c r="ER15" s="127"/>
      <c r="ES15" s="127"/>
      <c r="ET15" s="127"/>
      <c r="EU15" s="127"/>
      <c r="EV15" s="127"/>
      <c r="EW15" s="127"/>
      <c r="EX15" s="127"/>
      <c r="EY15" s="127"/>
      <c r="EZ15" s="127"/>
      <c r="FA15" s="127"/>
      <c r="FB15" s="127"/>
      <c r="FC15" s="127"/>
      <c r="FD15" s="127"/>
      <c r="FE15" s="127"/>
      <c r="FF15" s="127"/>
      <c r="FG15" s="127"/>
      <c r="FH15" s="127"/>
      <c r="FI15" s="127"/>
      <c r="FJ15" s="127"/>
      <c r="FK15" s="127"/>
      <c r="FL15" s="127"/>
      <c r="FM15" s="127"/>
      <c r="FN15" s="127"/>
      <c r="FO15" s="127"/>
      <c r="FP15" s="127"/>
      <c r="FQ15" s="127"/>
      <c r="FR15" s="127"/>
      <c r="FS15" s="127"/>
      <c r="FT15" s="127"/>
      <c r="FU15" s="127"/>
      <c r="FV15" s="127"/>
      <c r="FW15" s="127"/>
      <c r="FX15" s="127"/>
      <c r="FY15" s="127"/>
      <c r="FZ15" s="127"/>
      <c r="GA15" s="127"/>
      <c r="GB15" s="127"/>
      <c r="GC15" s="127"/>
      <c r="GD15" s="127"/>
      <c r="GE15" s="127"/>
      <c r="GF15" s="127"/>
      <c r="GG15" s="127"/>
      <c r="GH15" s="127"/>
      <c r="GI15" s="127"/>
      <c r="GJ15" s="127"/>
      <c r="GK15" s="127"/>
      <c r="GL15" s="127"/>
      <c r="GM15" s="127"/>
      <c r="GN15" s="127"/>
      <c r="GO15" s="127"/>
      <c r="GP15" s="127"/>
      <c r="GQ15" s="127"/>
      <c r="GR15" s="127"/>
      <c r="GS15" s="127"/>
      <c r="GT15" s="127"/>
      <c r="GU15" s="127"/>
      <c r="GV15" s="127"/>
      <c r="GW15" s="127"/>
      <c r="GX15" s="127"/>
      <c r="GY15" s="127"/>
      <c r="GZ15" s="127"/>
      <c r="HA15" s="127"/>
      <c r="HB15" s="127"/>
      <c r="HC15" s="127"/>
      <c r="HD15" s="127"/>
      <c r="HE15" s="127"/>
      <c r="HF15" s="127"/>
      <c r="HG15" s="127"/>
      <c r="HH15" s="127"/>
      <c r="HI15" s="127"/>
      <c r="HJ15" s="127"/>
      <c r="HK15" s="127"/>
      <c r="HL15" s="127"/>
      <c r="HM15" s="127"/>
      <c r="HN15" s="127"/>
      <c r="HO15" s="127"/>
      <c r="HP15" s="127"/>
      <c r="HQ15" s="127"/>
      <c r="HR15" s="127"/>
      <c r="HS15" s="127"/>
      <c r="HT15" s="127"/>
      <c r="HU15" s="127"/>
      <c r="HV15" s="127"/>
      <c r="HW15" s="127"/>
      <c r="HX15" s="127"/>
      <c r="HY15" s="127"/>
      <c r="HZ15" s="127"/>
      <c r="IA15" s="127"/>
      <c r="IB15" s="127"/>
      <c r="IC15" s="127"/>
      <c r="ID15" s="127"/>
      <c r="IE15" s="127"/>
      <c r="IF15" s="127"/>
      <c r="IG15" s="127"/>
      <c r="IH15" s="127"/>
      <c r="II15" s="127"/>
      <c r="IJ15" s="127"/>
      <c r="IK15" s="127"/>
      <c r="IL15" s="127"/>
      <c r="IM15" s="127"/>
      <c r="IN15" s="127"/>
      <c r="IO15" s="127"/>
      <c r="IP15" s="127"/>
      <c r="IQ15" s="127"/>
      <c r="IR15" s="127"/>
      <c r="IS15" s="127"/>
      <c r="IT15" s="127"/>
      <c r="IU15" s="127"/>
      <c r="IV15" s="127"/>
    </row>
    <row r="16" spans="1:256" x14ac:dyDescent="0.25">
      <c r="A16" s="260" t="str">
        <f>'1. паспорт местоположение'!A15:C15</f>
        <v>Приобретение оборудования в рамках Программы подготовки к ОЗП 2020/2021 гг.</v>
      </c>
      <c r="B16" s="260"/>
      <c r="C16" s="260"/>
      <c r="D16" s="260"/>
      <c r="E16" s="260"/>
      <c r="F16" s="260"/>
      <c r="G16" s="260"/>
      <c r="H16" s="260"/>
      <c r="I16" s="260"/>
      <c r="J16" s="260"/>
      <c r="K16" s="260"/>
      <c r="L16" s="260"/>
      <c r="M16" s="260"/>
      <c r="N16" s="260"/>
      <c r="O16" s="260"/>
      <c r="P16" s="260"/>
      <c r="Q16" s="260"/>
      <c r="R16" s="260"/>
      <c r="S16" s="260"/>
      <c r="T16" s="260"/>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c r="AX16" s="128"/>
      <c r="AY16" s="128"/>
      <c r="AZ16" s="128"/>
      <c r="BA16" s="128"/>
      <c r="BB16" s="128"/>
      <c r="BC16" s="128"/>
      <c r="BD16" s="128"/>
      <c r="BE16" s="128"/>
      <c r="BF16" s="128"/>
      <c r="BG16" s="128"/>
      <c r="BH16" s="128"/>
      <c r="BI16" s="128"/>
      <c r="BJ16" s="128"/>
      <c r="BK16" s="128"/>
      <c r="BL16" s="128"/>
      <c r="BM16" s="128"/>
      <c r="BN16" s="128"/>
      <c r="BO16" s="128"/>
      <c r="BP16" s="128"/>
      <c r="BQ16" s="128"/>
      <c r="BR16" s="128"/>
      <c r="BS16" s="128"/>
      <c r="BT16" s="128"/>
      <c r="BU16" s="128"/>
      <c r="BV16" s="128"/>
      <c r="BW16" s="128"/>
      <c r="BX16" s="128"/>
      <c r="BY16" s="128"/>
      <c r="BZ16" s="128"/>
      <c r="CA16" s="128"/>
      <c r="CB16" s="128"/>
      <c r="CC16" s="128"/>
      <c r="CD16" s="128"/>
      <c r="CE16" s="128"/>
      <c r="CF16" s="128"/>
      <c r="CG16" s="128"/>
      <c r="CH16" s="128"/>
      <c r="CI16" s="128"/>
      <c r="CJ16" s="128"/>
      <c r="CK16" s="128"/>
      <c r="CL16" s="128"/>
      <c r="CM16" s="128"/>
      <c r="CN16" s="128"/>
      <c r="CO16" s="128"/>
      <c r="CP16" s="128"/>
      <c r="CQ16" s="128"/>
      <c r="CR16" s="128"/>
      <c r="CS16" s="128"/>
      <c r="CT16" s="128"/>
      <c r="CU16" s="128"/>
      <c r="CV16" s="128"/>
      <c r="CW16" s="128"/>
      <c r="CX16" s="128"/>
      <c r="CY16" s="128"/>
      <c r="CZ16" s="128"/>
      <c r="DA16" s="128"/>
      <c r="DB16" s="128"/>
      <c r="DC16" s="128"/>
      <c r="DD16" s="128"/>
      <c r="DE16" s="128"/>
      <c r="DF16" s="128"/>
      <c r="DG16" s="128"/>
      <c r="DH16" s="128"/>
      <c r="DI16" s="128"/>
      <c r="DJ16" s="128"/>
      <c r="DK16" s="128"/>
      <c r="DL16" s="128"/>
      <c r="DM16" s="128"/>
      <c r="DN16" s="128"/>
      <c r="DO16" s="128"/>
      <c r="DP16" s="128"/>
      <c r="DQ16" s="128"/>
      <c r="DR16" s="128"/>
      <c r="DS16" s="128"/>
      <c r="DT16" s="128"/>
      <c r="DU16" s="128"/>
      <c r="DV16" s="128"/>
      <c r="DW16" s="128"/>
      <c r="DX16" s="128"/>
      <c r="DY16" s="128"/>
      <c r="DZ16" s="128"/>
      <c r="EA16" s="128"/>
      <c r="EB16" s="128"/>
      <c r="EC16" s="128"/>
      <c r="ED16" s="128"/>
      <c r="EE16" s="128"/>
      <c r="EF16" s="128"/>
      <c r="EG16" s="128"/>
      <c r="EH16" s="128"/>
      <c r="EI16" s="128"/>
      <c r="EJ16" s="128"/>
      <c r="EK16" s="128"/>
      <c r="EL16" s="128"/>
      <c r="EM16" s="128"/>
      <c r="EN16" s="128"/>
      <c r="EO16" s="128"/>
      <c r="EP16" s="128"/>
      <c r="EQ16" s="128"/>
      <c r="ER16" s="128"/>
      <c r="ES16" s="128"/>
      <c r="ET16" s="128"/>
      <c r="EU16" s="128"/>
      <c r="EV16" s="128"/>
      <c r="EW16" s="128"/>
      <c r="EX16" s="128"/>
      <c r="EY16" s="128"/>
      <c r="EZ16" s="128"/>
      <c r="FA16" s="128"/>
      <c r="FB16" s="128"/>
      <c r="FC16" s="128"/>
      <c r="FD16" s="128"/>
      <c r="FE16" s="128"/>
      <c r="FF16" s="128"/>
      <c r="FG16" s="128"/>
      <c r="FH16" s="128"/>
      <c r="FI16" s="128"/>
      <c r="FJ16" s="128"/>
      <c r="FK16" s="128"/>
      <c r="FL16" s="128"/>
      <c r="FM16" s="128"/>
      <c r="FN16" s="128"/>
      <c r="FO16" s="128"/>
      <c r="FP16" s="128"/>
      <c r="FQ16" s="128"/>
      <c r="FR16" s="128"/>
      <c r="FS16" s="128"/>
      <c r="FT16" s="128"/>
      <c r="FU16" s="128"/>
      <c r="FV16" s="128"/>
      <c r="FW16" s="128"/>
      <c r="FX16" s="128"/>
      <c r="FY16" s="128"/>
      <c r="FZ16" s="128"/>
      <c r="GA16" s="128"/>
      <c r="GB16" s="128"/>
      <c r="GC16" s="128"/>
      <c r="GD16" s="128"/>
      <c r="GE16" s="128"/>
      <c r="GF16" s="128"/>
      <c r="GG16" s="128"/>
      <c r="GH16" s="128"/>
      <c r="GI16" s="128"/>
      <c r="GJ16" s="128"/>
      <c r="GK16" s="128"/>
      <c r="GL16" s="128"/>
      <c r="GM16" s="128"/>
      <c r="GN16" s="128"/>
      <c r="GO16" s="128"/>
      <c r="GP16" s="128"/>
      <c r="GQ16" s="128"/>
      <c r="GR16" s="128"/>
      <c r="GS16" s="128"/>
      <c r="GT16" s="128"/>
      <c r="GU16" s="128"/>
      <c r="GV16" s="128"/>
      <c r="GW16" s="128"/>
      <c r="GX16" s="128"/>
      <c r="GY16" s="128"/>
      <c r="GZ16" s="128"/>
      <c r="HA16" s="128"/>
      <c r="HB16" s="128"/>
      <c r="HC16" s="128"/>
      <c r="HD16" s="128"/>
      <c r="HE16" s="128"/>
      <c r="HF16" s="128"/>
      <c r="HG16" s="128"/>
      <c r="HH16" s="128"/>
      <c r="HI16" s="128"/>
      <c r="HJ16" s="128"/>
      <c r="HK16" s="128"/>
      <c r="HL16" s="128"/>
      <c r="HM16" s="128"/>
      <c r="HN16" s="128"/>
      <c r="HO16" s="128"/>
      <c r="HP16" s="128"/>
      <c r="HQ16" s="128"/>
      <c r="HR16" s="128"/>
      <c r="HS16" s="128"/>
      <c r="HT16" s="128"/>
      <c r="HU16" s="128"/>
      <c r="HV16" s="128"/>
      <c r="HW16" s="128"/>
      <c r="HX16" s="128"/>
      <c r="HY16" s="128"/>
      <c r="HZ16" s="128"/>
      <c r="IA16" s="128"/>
      <c r="IB16" s="128"/>
      <c r="IC16" s="128"/>
      <c r="ID16" s="128"/>
      <c r="IE16" s="128"/>
      <c r="IF16" s="128"/>
      <c r="IG16" s="128"/>
      <c r="IH16" s="128"/>
      <c r="II16" s="128"/>
      <c r="IJ16" s="128"/>
      <c r="IK16" s="128"/>
      <c r="IL16" s="128"/>
      <c r="IM16" s="128"/>
      <c r="IN16" s="128"/>
      <c r="IO16" s="128"/>
      <c r="IP16" s="128"/>
      <c r="IQ16" s="128"/>
      <c r="IR16" s="128"/>
      <c r="IS16" s="128"/>
      <c r="IT16" s="128"/>
      <c r="IU16" s="128"/>
      <c r="IV16" s="128"/>
    </row>
    <row r="17" spans="1:256" x14ac:dyDescent="0.25">
      <c r="A17" s="261" t="s">
        <v>2</v>
      </c>
      <c r="B17" s="261"/>
      <c r="C17" s="261"/>
      <c r="D17" s="261"/>
      <c r="E17" s="261"/>
      <c r="F17" s="261"/>
      <c r="G17" s="261"/>
      <c r="H17" s="261"/>
      <c r="I17" s="261"/>
      <c r="J17" s="261"/>
      <c r="K17" s="261"/>
      <c r="L17" s="261"/>
      <c r="M17" s="261"/>
      <c r="N17" s="261"/>
      <c r="O17" s="261"/>
      <c r="P17" s="261"/>
      <c r="Q17" s="261"/>
      <c r="R17" s="261"/>
      <c r="S17" s="261"/>
      <c r="T17" s="261"/>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8"/>
      <c r="BM17" s="128"/>
      <c r="BN17" s="128"/>
      <c r="BO17" s="128"/>
      <c r="BP17" s="128"/>
      <c r="BQ17" s="128"/>
      <c r="BR17" s="128"/>
      <c r="BS17" s="128"/>
      <c r="BT17" s="128"/>
      <c r="BU17" s="128"/>
      <c r="BV17" s="128"/>
      <c r="BW17" s="128"/>
      <c r="BX17" s="128"/>
      <c r="BY17" s="128"/>
      <c r="BZ17" s="128"/>
      <c r="CA17" s="128"/>
      <c r="CB17" s="128"/>
      <c r="CC17" s="128"/>
      <c r="CD17" s="128"/>
      <c r="CE17" s="128"/>
      <c r="CF17" s="128"/>
      <c r="CG17" s="128"/>
      <c r="CH17" s="128"/>
      <c r="CI17" s="128"/>
      <c r="CJ17" s="128"/>
      <c r="CK17" s="128"/>
      <c r="CL17" s="128"/>
      <c r="CM17" s="128"/>
      <c r="CN17" s="128"/>
      <c r="CO17" s="128"/>
      <c r="CP17" s="128"/>
      <c r="CQ17" s="128"/>
      <c r="CR17" s="128"/>
      <c r="CS17" s="128"/>
      <c r="CT17" s="128"/>
      <c r="CU17" s="128"/>
      <c r="CV17" s="128"/>
      <c r="CW17" s="128"/>
      <c r="CX17" s="128"/>
      <c r="CY17" s="128"/>
      <c r="CZ17" s="128"/>
      <c r="DA17" s="128"/>
      <c r="DB17" s="128"/>
      <c r="DC17" s="128"/>
      <c r="DD17" s="128"/>
      <c r="DE17" s="128"/>
      <c r="DF17" s="128"/>
      <c r="DG17" s="128"/>
      <c r="DH17" s="128"/>
      <c r="DI17" s="128"/>
      <c r="DJ17" s="128"/>
      <c r="DK17" s="128"/>
      <c r="DL17" s="128"/>
      <c r="DM17" s="128"/>
      <c r="DN17" s="128"/>
      <c r="DO17" s="128"/>
      <c r="DP17" s="128"/>
      <c r="DQ17" s="128"/>
      <c r="DR17" s="128"/>
      <c r="DS17" s="128"/>
      <c r="DT17" s="128"/>
      <c r="DU17" s="128"/>
      <c r="DV17" s="128"/>
      <c r="DW17" s="128"/>
      <c r="DX17" s="128"/>
      <c r="DY17" s="128"/>
      <c r="DZ17" s="128"/>
      <c r="EA17" s="128"/>
      <c r="EB17" s="128"/>
      <c r="EC17" s="128"/>
      <c r="ED17" s="128"/>
      <c r="EE17" s="128"/>
      <c r="EF17" s="128"/>
      <c r="EG17" s="128"/>
      <c r="EH17" s="128"/>
      <c r="EI17" s="128"/>
      <c r="EJ17" s="128"/>
      <c r="EK17" s="128"/>
      <c r="EL17" s="128"/>
      <c r="EM17" s="128"/>
      <c r="EN17" s="128"/>
      <c r="EO17" s="128"/>
      <c r="EP17" s="128"/>
      <c r="EQ17" s="128"/>
      <c r="ER17" s="128"/>
      <c r="ES17" s="128"/>
      <c r="ET17" s="128"/>
      <c r="EU17" s="128"/>
      <c r="EV17" s="128"/>
      <c r="EW17" s="128"/>
      <c r="EX17" s="128"/>
      <c r="EY17" s="128"/>
      <c r="EZ17" s="128"/>
      <c r="FA17" s="128"/>
      <c r="FB17" s="128"/>
      <c r="FC17" s="128"/>
      <c r="FD17" s="128"/>
      <c r="FE17" s="128"/>
      <c r="FF17" s="128"/>
      <c r="FG17" s="128"/>
      <c r="FH17" s="128"/>
      <c r="FI17" s="128"/>
      <c r="FJ17" s="128"/>
      <c r="FK17" s="128"/>
      <c r="FL17" s="128"/>
      <c r="FM17" s="128"/>
      <c r="FN17" s="128"/>
      <c r="FO17" s="128"/>
      <c r="FP17" s="128"/>
      <c r="FQ17" s="128"/>
      <c r="FR17" s="128"/>
      <c r="FS17" s="128"/>
      <c r="FT17" s="128"/>
      <c r="FU17" s="128"/>
      <c r="FV17" s="128"/>
      <c r="FW17" s="128"/>
      <c r="FX17" s="128"/>
      <c r="FY17" s="128"/>
      <c r="FZ17" s="128"/>
      <c r="GA17" s="128"/>
      <c r="GB17" s="128"/>
      <c r="GC17" s="128"/>
      <c r="GD17" s="128"/>
      <c r="GE17" s="128"/>
      <c r="GF17" s="128"/>
      <c r="GG17" s="128"/>
      <c r="GH17" s="128"/>
      <c r="GI17" s="128"/>
      <c r="GJ17" s="128"/>
      <c r="GK17" s="128"/>
      <c r="GL17" s="128"/>
      <c r="GM17" s="128"/>
      <c r="GN17" s="128"/>
      <c r="GO17" s="128"/>
      <c r="GP17" s="128"/>
      <c r="GQ17" s="128"/>
      <c r="GR17" s="128"/>
      <c r="GS17" s="128"/>
      <c r="GT17" s="128"/>
      <c r="GU17" s="128"/>
      <c r="GV17" s="128"/>
      <c r="GW17" s="128"/>
      <c r="GX17" s="128"/>
      <c r="GY17" s="128"/>
      <c r="GZ17" s="128"/>
      <c r="HA17" s="128"/>
      <c r="HB17" s="128"/>
      <c r="HC17" s="128"/>
      <c r="HD17" s="128"/>
      <c r="HE17" s="128"/>
      <c r="HF17" s="128"/>
      <c r="HG17" s="128"/>
      <c r="HH17" s="128"/>
      <c r="HI17" s="128"/>
      <c r="HJ17" s="128"/>
      <c r="HK17" s="128"/>
      <c r="HL17" s="128"/>
      <c r="HM17" s="128"/>
      <c r="HN17" s="128"/>
      <c r="HO17" s="128"/>
      <c r="HP17" s="128"/>
      <c r="HQ17" s="128"/>
      <c r="HR17" s="128"/>
      <c r="HS17" s="128"/>
      <c r="HT17" s="128"/>
      <c r="HU17" s="128"/>
      <c r="HV17" s="128"/>
      <c r="HW17" s="128"/>
      <c r="HX17" s="128"/>
      <c r="HY17" s="128"/>
      <c r="HZ17" s="128"/>
      <c r="IA17" s="128"/>
      <c r="IB17" s="128"/>
      <c r="IC17" s="128"/>
      <c r="ID17" s="128"/>
      <c r="IE17" s="128"/>
      <c r="IF17" s="128"/>
      <c r="IG17" s="128"/>
      <c r="IH17" s="128"/>
      <c r="II17" s="128"/>
      <c r="IJ17" s="128"/>
      <c r="IK17" s="128"/>
      <c r="IL17" s="128"/>
      <c r="IM17" s="128"/>
      <c r="IN17" s="128"/>
      <c r="IO17" s="128"/>
      <c r="IP17" s="128"/>
      <c r="IQ17" s="128"/>
      <c r="IR17" s="128"/>
      <c r="IS17" s="128"/>
      <c r="IT17" s="128"/>
      <c r="IU17" s="128"/>
      <c r="IV17" s="128"/>
    </row>
    <row r="18" spans="1:256" ht="18.75" x14ac:dyDescent="0.25">
      <c r="A18" s="269"/>
      <c r="B18" s="269"/>
      <c r="C18" s="269"/>
      <c r="D18" s="269"/>
      <c r="E18" s="269"/>
      <c r="F18" s="269"/>
      <c r="G18" s="269"/>
      <c r="H18" s="269"/>
      <c r="I18" s="269"/>
      <c r="J18" s="269"/>
      <c r="K18" s="269"/>
      <c r="L18" s="269"/>
      <c r="M18" s="269"/>
      <c r="N18" s="269"/>
      <c r="O18" s="269"/>
      <c r="P18" s="269"/>
      <c r="Q18" s="269"/>
      <c r="R18" s="269"/>
      <c r="S18" s="269"/>
      <c r="T18" s="269"/>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c r="BO18" s="128"/>
      <c r="BP18" s="128"/>
      <c r="BQ18" s="128"/>
      <c r="BR18" s="128"/>
      <c r="BS18" s="128"/>
      <c r="BT18" s="128"/>
      <c r="BU18" s="128"/>
      <c r="BV18" s="128"/>
      <c r="BW18" s="128"/>
      <c r="BX18" s="128"/>
      <c r="BY18" s="128"/>
      <c r="BZ18" s="128"/>
      <c r="CA18" s="128"/>
      <c r="CB18" s="128"/>
      <c r="CC18" s="128"/>
      <c r="CD18" s="128"/>
      <c r="CE18" s="128"/>
      <c r="CF18" s="128"/>
      <c r="CG18" s="128"/>
      <c r="CH18" s="128"/>
      <c r="CI18" s="128"/>
      <c r="CJ18" s="128"/>
      <c r="CK18" s="128"/>
      <c r="CL18" s="128"/>
      <c r="CM18" s="128"/>
      <c r="CN18" s="128"/>
      <c r="CO18" s="128"/>
      <c r="CP18" s="128"/>
      <c r="CQ18" s="128"/>
      <c r="CR18" s="128"/>
      <c r="CS18" s="128"/>
      <c r="CT18" s="128"/>
      <c r="CU18" s="128"/>
      <c r="CV18" s="128"/>
      <c r="CW18" s="128"/>
      <c r="CX18" s="128"/>
      <c r="CY18" s="128"/>
      <c r="CZ18" s="128"/>
      <c r="DA18" s="128"/>
      <c r="DB18" s="128"/>
      <c r="DC18" s="128"/>
      <c r="DD18" s="128"/>
      <c r="DE18" s="128"/>
      <c r="DF18" s="128"/>
      <c r="DG18" s="128"/>
      <c r="DH18" s="128"/>
      <c r="DI18" s="128"/>
      <c r="DJ18" s="128"/>
      <c r="DK18" s="128"/>
      <c r="DL18" s="128"/>
      <c r="DM18" s="128"/>
      <c r="DN18" s="128"/>
      <c r="DO18" s="128"/>
      <c r="DP18" s="128"/>
      <c r="DQ18" s="128"/>
      <c r="DR18" s="128"/>
      <c r="DS18" s="128"/>
      <c r="DT18" s="128"/>
      <c r="DU18" s="128"/>
      <c r="DV18" s="128"/>
      <c r="DW18" s="128"/>
      <c r="DX18" s="128"/>
      <c r="DY18" s="128"/>
      <c r="DZ18" s="128"/>
      <c r="EA18" s="128"/>
      <c r="EB18" s="128"/>
      <c r="EC18" s="128"/>
      <c r="ED18" s="128"/>
      <c r="EE18" s="128"/>
      <c r="EF18" s="128"/>
      <c r="EG18" s="128"/>
      <c r="EH18" s="128"/>
      <c r="EI18" s="128"/>
      <c r="EJ18" s="128"/>
      <c r="EK18" s="128"/>
      <c r="EL18" s="128"/>
      <c r="EM18" s="128"/>
      <c r="EN18" s="128"/>
      <c r="EO18" s="128"/>
      <c r="EP18" s="128"/>
      <c r="EQ18" s="128"/>
      <c r="ER18" s="128"/>
      <c r="ES18" s="128"/>
      <c r="ET18" s="128"/>
      <c r="EU18" s="128"/>
      <c r="EV18" s="128"/>
      <c r="EW18" s="128"/>
      <c r="EX18" s="128"/>
      <c r="EY18" s="128"/>
      <c r="EZ18" s="128"/>
      <c r="FA18" s="128"/>
      <c r="FB18" s="128"/>
      <c r="FC18" s="128"/>
      <c r="FD18" s="128"/>
      <c r="FE18" s="128"/>
      <c r="FF18" s="128"/>
      <c r="FG18" s="128"/>
      <c r="FH18" s="128"/>
      <c r="FI18" s="128"/>
      <c r="FJ18" s="128"/>
      <c r="FK18" s="128"/>
      <c r="FL18" s="128"/>
      <c r="FM18" s="128"/>
      <c r="FN18" s="128"/>
      <c r="FO18" s="128"/>
      <c r="FP18" s="128"/>
      <c r="FQ18" s="128"/>
      <c r="FR18" s="128"/>
      <c r="FS18" s="128"/>
      <c r="FT18" s="128"/>
      <c r="FU18" s="128"/>
      <c r="FV18" s="128"/>
      <c r="FW18" s="128"/>
      <c r="FX18" s="128"/>
      <c r="FY18" s="128"/>
      <c r="FZ18" s="128"/>
      <c r="GA18" s="128"/>
      <c r="GB18" s="128"/>
      <c r="GC18" s="128"/>
      <c r="GD18" s="128"/>
      <c r="GE18" s="128"/>
      <c r="GF18" s="128"/>
      <c r="GG18" s="128"/>
      <c r="GH18" s="128"/>
      <c r="GI18" s="128"/>
      <c r="GJ18" s="128"/>
      <c r="GK18" s="128"/>
      <c r="GL18" s="128"/>
      <c r="GM18" s="128"/>
      <c r="GN18" s="128"/>
      <c r="GO18" s="128"/>
      <c r="GP18" s="128"/>
      <c r="GQ18" s="128"/>
      <c r="GR18" s="128"/>
      <c r="GS18" s="128"/>
      <c r="GT18" s="128"/>
      <c r="GU18" s="128"/>
      <c r="GV18" s="128"/>
      <c r="GW18" s="128"/>
      <c r="GX18" s="128"/>
      <c r="GY18" s="128"/>
      <c r="GZ18" s="128"/>
      <c r="HA18" s="128"/>
      <c r="HB18" s="128"/>
      <c r="HC18" s="128"/>
      <c r="HD18" s="128"/>
      <c r="HE18" s="128"/>
      <c r="HF18" s="128"/>
      <c r="HG18" s="128"/>
      <c r="HH18" s="128"/>
      <c r="HI18" s="128"/>
      <c r="HJ18" s="128"/>
      <c r="HK18" s="128"/>
      <c r="HL18" s="128"/>
      <c r="HM18" s="128"/>
      <c r="HN18" s="128"/>
      <c r="HO18" s="128"/>
      <c r="HP18" s="128"/>
      <c r="HQ18" s="128"/>
      <c r="HR18" s="128"/>
      <c r="HS18" s="128"/>
      <c r="HT18" s="128"/>
      <c r="HU18" s="128"/>
      <c r="HV18" s="128"/>
      <c r="HW18" s="128"/>
      <c r="HX18" s="128"/>
      <c r="HY18" s="128"/>
      <c r="HZ18" s="128"/>
      <c r="IA18" s="128"/>
      <c r="IB18" s="128"/>
      <c r="IC18" s="128"/>
      <c r="ID18" s="128"/>
      <c r="IE18" s="128"/>
      <c r="IF18" s="128"/>
      <c r="IG18" s="128"/>
      <c r="IH18" s="128"/>
      <c r="II18" s="128"/>
      <c r="IJ18" s="128"/>
      <c r="IK18" s="128"/>
      <c r="IL18" s="128"/>
      <c r="IM18" s="128"/>
      <c r="IN18" s="128"/>
      <c r="IO18" s="128"/>
      <c r="IP18" s="128"/>
      <c r="IQ18" s="128"/>
      <c r="IR18" s="128"/>
      <c r="IS18" s="128"/>
      <c r="IT18" s="128"/>
      <c r="IU18" s="128"/>
      <c r="IV18" s="128"/>
    </row>
    <row r="19" spans="1:256" ht="18.75" x14ac:dyDescent="0.25">
      <c r="A19" s="274" t="s">
        <v>231</v>
      </c>
      <c r="B19" s="274"/>
      <c r="C19" s="274"/>
      <c r="D19" s="274"/>
      <c r="E19" s="274"/>
      <c r="F19" s="274"/>
      <c r="G19" s="274"/>
      <c r="H19" s="274"/>
      <c r="I19" s="274"/>
      <c r="J19" s="274"/>
      <c r="K19" s="274"/>
      <c r="L19" s="274"/>
      <c r="M19" s="274"/>
      <c r="N19" s="274"/>
      <c r="O19" s="274"/>
      <c r="P19" s="274"/>
      <c r="Q19" s="274"/>
      <c r="R19" s="274"/>
      <c r="S19" s="274"/>
      <c r="T19" s="274"/>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8"/>
      <c r="BH19" s="128"/>
      <c r="BI19" s="128"/>
      <c r="BJ19" s="128"/>
      <c r="BK19" s="128"/>
      <c r="BL19" s="128"/>
      <c r="BM19" s="128"/>
      <c r="BN19" s="128"/>
      <c r="BO19" s="128"/>
      <c r="BP19" s="128"/>
      <c r="BQ19" s="128"/>
      <c r="BR19" s="128"/>
      <c r="BS19" s="128"/>
      <c r="BT19" s="128"/>
      <c r="BU19" s="128"/>
      <c r="BV19" s="128"/>
      <c r="BW19" s="128"/>
      <c r="BX19" s="128"/>
      <c r="BY19" s="128"/>
      <c r="BZ19" s="128"/>
      <c r="CA19" s="128"/>
      <c r="CB19" s="128"/>
      <c r="CC19" s="128"/>
      <c r="CD19" s="128"/>
      <c r="CE19" s="128"/>
      <c r="CF19" s="128"/>
      <c r="CG19" s="128"/>
      <c r="CH19" s="128"/>
      <c r="CI19" s="128"/>
      <c r="CJ19" s="128"/>
      <c r="CK19" s="128"/>
      <c r="CL19" s="128"/>
      <c r="CM19" s="128"/>
      <c r="CN19" s="128"/>
      <c r="CO19" s="128"/>
      <c r="CP19" s="128"/>
      <c r="CQ19" s="128"/>
      <c r="CR19" s="128"/>
      <c r="CS19" s="128"/>
      <c r="CT19" s="128"/>
      <c r="CU19" s="128"/>
      <c r="CV19" s="128"/>
      <c r="CW19" s="128"/>
      <c r="CX19" s="128"/>
      <c r="CY19" s="128"/>
      <c r="CZ19" s="128"/>
      <c r="DA19" s="128"/>
      <c r="DB19" s="128"/>
      <c r="DC19" s="128"/>
      <c r="DD19" s="128"/>
      <c r="DE19" s="128"/>
      <c r="DF19" s="128"/>
      <c r="DG19" s="128"/>
      <c r="DH19" s="128"/>
      <c r="DI19" s="128"/>
      <c r="DJ19" s="128"/>
      <c r="DK19" s="128"/>
      <c r="DL19" s="128"/>
      <c r="DM19" s="128"/>
      <c r="DN19" s="128"/>
      <c r="DO19" s="128"/>
      <c r="DP19" s="128"/>
      <c r="DQ19" s="128"/>
      <c r="DR19" s="128"/>
      <c r="DS19" s="128"/>
      <c r="DT19" s="128"/>
      <c r="DU19" s="128"/>
      <c r="DV19" s="128"/>
      <c r="DW19" s="128"/>
      <c r="DX19" s="128"/>
      <c r="DY19" s="128"/>
      <c r="DZ19" s="128"/>
      <c r="EA19" s="128"/>
      <c r="EB19" s="128"/>
      <c r="EC19" s="128"/>
      <c r="ED19" s="128"/>
      <c r="EE19" s="128"/>
      <c r="EF19" s="128"/>
      <c r="EG19" s="128"/>
      <c r="EH19" s="128"/>
      <c r="EI19" s="128"/>
      <c r="EJ19" s="128"/>
      <c r="EK19" s="128"/>
      <c r="EL19" s="128"/>
      <c r="EM19" s="128"/>
      <c r="EN19" s="128"/>
      <c r="EO19" s="128"/>
      <c r="EP19" s="128"/>
      <c r="EQ19" s="128"/>
      <c r="ER19" s="128"/>
      <c r="ES19" s="128"/>
      <c r="ET19" s="128"/>
      <c r="EU19" s="128"/>
      <c r="EV19" s="128"/>
      <c r="EW19" s="128"/>
      <c r="EX19" s="128"/>
      <c r="EY19" s="128"/>
      <c r="EZ19" s="128"/>
      <c r="FA19" s="128"/>
      <c r="FB19" s="128"/>
      <c r="FC19" s="128"/>
      <c r="FD19" s="128"/>
      <c r="FE19" s="128"/>
      <c r="FF19" s="128"/>
      <c r="FG19" s="128"/>
      <c r="FH19" s="128"/>
      <c r="FI19" s="128"/>
      <c r="FJ19" s="128"/>
      <c r="FK19" s="128"/>
      <c r="FL19" s="128"/>
      <c r="FM19" s="128"/>
      <c r="FN19" s="128"/>
      <c r="FO19" s="128"/>
      <c r="FP19" s="128"/>
      <c r="FQ19" s="128"/>
      <c r="FR19" s="128"/>
      <c r="FS19" s="128"/>
      <c r="FT19" s="128"/>
      <c r="FU19" s="128"/>
      <c r="FV19" s="128"/>
      <c r="FW19" s="128"/>
      <c r="FX19" s="128"/>
      <c r="FY19" s="128"/>
      <c r="FZ19" s="128"/>
      <c r="GA19" s="128"/>
      <c r="GB19" s="128"/>
      <c r="GC19" s="128"/>
      <c r="GD19" s="128"/>
      <c r="GE19" s="128"/>
      <c r="GF19" s="128"/>
      <c r="GG19" s="128"/>
      <c r="GH19" s="128"/>
      <c r="GI19" s="128"/>
      <c r="GJ19" s="128"/>
      <c r="GK19" s="128"/>
      <c r="GL19" s="128"/>
      <c r="GM19" s="128"/>
      <c r="GN19" s="128"/>
      <c r="GO19" s="128"/>
      <c r="GP19" s="128"/>
      <c r="GQ19" s="128"/>
      <c r="GR19" s="128"/>
      <c r="GS19" s="128"/>
      <c r="GT19" s="128"/>
      <c r="GU19" s="128"/>
      <c r="GV19" s="128"/>
      <c r="GW19" s="128"/>
      <c r="GX19" s="128"/>
      <c r="GY19" s="128"/>
      <c r="GZ19" s="128"/>
      <c r="HA19" s="128"/>
      <c r="HB19" s="128"/>
      <c r="HC19" s="128"/>
      <c r="HD19" s="128"/>
      <c r="HE19" s="128"/>
      <c r="HF19" s="128"/>
      <c r="HG19" s="128"/>
      <c r="HH19" s="128"/>
      <c r="HI19" s="128"/>
      <c r="HJ19" s="128"/>
      <c r="HK19" s="128"/>
      <c r="HL19" s="128"/>
      <c r="HM19" s="128"/>
      <c r="HN19" s="128"/>
      <c r="HO19" s="128"/>
      <c r="HP19" s="128"/>
      <c r="HQ19" s="128"/>
      <c r="HR19" s="128"/>
      <c r="HS19" s="128"/>
      <c r="HT19" s="128"/>
      <c r="HU19" s="128"/>
      <c r="HV19" s="128"/>
      <c r="HW19" s="128"/>
      <c r="HX19" s="128"/>
      <c r="HY19" s="128"/>
      <c r="HZ19" s="128"/>
      <c r="IA19" s="128"/>
      <c r="IB19" s="128"/>
      <c r="IC19" s="128"/>
      <c r="ID19" s="128"/>
      <c r="IE19" s="128"/>
      <c r="IF19" s="128"/>
      <c r="IG19" s="128"/>
      <c r="IH19" s="128"/>
      <c r="II19" s="128"/>
      <c r="IJ19" s="128"/>
      <c r="IK19" s="128"/>
      <c r="IL19" s="128"/>
      <c r="IM19" s="128"/>
      <c r="IN19" s="128"/>
      <c r="IO19" s="128"/>
      <c r="IP19" s="128"/>
      <c r="IQ19" s="128"/>
      <c r="IR19" s="128"/>
      <c r="IS19" s="128"/>
      <c r="IT19" s="128"/>
      <c r="IU19" s="128"/>
      <c r="IV19" s="128"/>
    </row>
    <row r="20" spans="1:256" x14ac:dyDescent="0.25">
      <c r="A20" s="275"/>
      <c r="B20" s="275"/>
      <c r="C20" s="275"/>
      <c r="D20" s="275"/>
      <c r="E20" s="275"/>
      <c r="F20" s="275"/>
      <c r="G20" s="275"/>
      <c r="H20" s="275"/>
      <c r="I20" s="275"/>
      <c r="J20" s="275"/>
      <c r="K20" s="275"/>
      <c r="L20" s="275"/>
      <c r="M20" s="275"/>
      <c r="N20" s="275"/>
      <c r="O20" s="275"/>
      <c r="P20" s="275"/>
      <c r="Q20" s="275"/>
      <c r="R20" s="275"/>
      <c r="S20" s="275"/>
      <c r="T20" s="275"/>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c r="BY20" s="129"/>
      <c r="BZ20" s="129"/>
      <c r="CA20" s="129"/>
      <c r="CB20" s="129"/>
      <c r="CC20" s="129"/>
      <c r="CD20" s="129"/>
      <c r="CE20" s="129"/>
      <c r="CF20" s="129"/>
      <c r="CG20" s="129"/>
      <c r="CH20" s="129"/>
      <c r="CI20" s="129"/>
      <c r="CJ20" s="129"/>
      <c r="CK20" s="129"/>
      <c r="CL20" s="129"/>
      <c r="CM20" s="129"/>
      <c r="CN20" s="129"/>
      <c r="CO20" s="129"/>
      <c r="CP20" s="129"/>
      <c r="CQ20" s="129"/>
      <c r="CR20" s="129"/>
      <c r="CS20" s="129"/>
      <c r="CT20" s="129"/>
      <c r="CU20" s="129"/>
      <c r="CV20" s="129"/>
      <c r="CW20" s="129"/>
      <c r="CX20" s="129"/>
      <c r="CY20" s="129"/>
      <c r="CZ20" s="129"/>
      <c r="DA20" s="129"/>
      <c r="DB20" s="129"/>
      <c r="DC20" s="129"/>
      <c r="DD20" s="129"/>
      <c r="DE20" s="129"/>
      <c r="DF20" s="129"/>
      <c r="DG20" s="129"/>
      <c r="DH20" s="129"/>
      <c r="DI20" s="129"/>
      <c r="DJ20" s="129"/>
      <c r="DK20" s="129"/>
      <c r="DL20" s="129"/>
      <c r="DM20" s="129"/>
      <c r="DN20" s="129"/>
      <c r="DO20" s="129"/>
      <c r="DP20" s="129"/>
      <c r="DQ20" s="129"/>
      <c r="DR20" s="129"/>
      <c r="DS20" s="129"/>
      <c r="DT20" s="129"/>
      <c r="DU20" s="129"/>
      <c r="DV20" s="129"/>
      <c r="DW20" s="129"/>
      <c r="DX20" s="129"/>
      <c r="DY20" s="129"/>
      <c r="DZ20" s="129"/>
      <c r="EA20" s="129"/>
      <c r="EB20" s="129"/>
      <c r="EC20" s="129"/>
      <c r="ED20" s="129"/>
      <c r="EE20" s="129"/>
      <c r="EF20" s="129"/>
      <c r="EG20" s="129"/>
      <c r="EH20" s="129"/>
      <c r="EI20" s="129"/>
      <c r="EJ20" s="129"/>
      <c r="EK20" s="129"/>
      <c r="EL20" s="129"/>
      <c r="EM20" s="129"/>
      <c r="EN20" s="129"/>
      <c r="EO20" s="129"/>
      <c r="EP20" s="129"/>
      <c r="EQ20" s="129"/>
      <c r="ER20" s="129"/>
      <c r="ES20" s="129"/>
      <c r="ET20" s="129"/>
      <c r="EU20" s="129"/>
      <c r="EV20" s="129"/>
      <c r="EW20" s="129"/>
      <c r="EX20" s="129"/>
      <c r="EY20" s="129"/>
      <c r="EZ20" s="129"/>
      <c r="FA20" s="129"/>
      <c r="FB20" s="129"/>
      <c r="FC20" s="129"/>
      <c r="FD20" s="129"/>
      <c r="FE20" s="129"/>
      <c r="FF20" s="129"/>
      <c r="FG20" s="129"/>
      <c r="FH20" s="129"/>
      <c r="FI20" s="129"/>
      <c r="FJ20" s="129"/>
      <c r="FK20" s="129"/>
      <c r="FL20" s="129"/>
      <c r="FM20" s="129"/>
      <c r="FN20" s="129"/>
      <c r="FO20" s="129"/>
      <c r="FP20" s="129"/>
      <c r="FQ20" s="129"/>
      <c r="FR20" s="129"/>
      <c r="FS20" s="129"/>
      <c r="FT20" s="129"/>
      <c r="FU20" s="129"/>
      <c r="FV20" s="129"/>
      <c r="FW20" s="129"/>
      <c r="FX20" s="129"/>
      <c r="FY20" s="129"/>
      <c r="FZ20" s="129"/>
      <c r="GA20" s="129"/>
      <c r="GB20" s="129"/>
      <c r="GC20" s="129"/>
      <c r="GD20" s="129"/>
      <c r="GE20" s="129"/>
      <c r="GF20" s="129"/>
      <c r="GG20" s="129"/>
      <c r="GH20" s="129"/>
      <c r="GI20" s="129"/>
      <c r="GJ20" s="129"/>
      <c r="GK20" s="129"/>
      <c r="GL20" s="129"/>
      <c r="GM20" s="129"/>
      <c r="GN20" s="129"/>
      <c r="GO20" s="129"/>
      <c r="GP20" s="129"/>
      <c r="GQ20" s="129"/>
      <c r="GR20" s="129"/>
      <c r="GS20" s="129"/>
      <c r="GT20" s="129"/>
      <c r="GU20" s="129"/>
      <c r="GV20" s="129"/>
      <c r="GW20" s="129"/>
      <c r="GX20" s="129"/>
      <c r="GY20" s="129"/>
      <c r="GZ20" s="129"/>
      <c r="HA20" s="129"/>
      <c r="HB20" s="129"/>
      <c r="HC20" s="129"/>
      <c r="HD20" s="129"/>
      <c r="HE20" s="129"/>
      <c r="HF20" s="129"/>
      <c r="HG20" s="129"/>
      <c r="HH20" s="129"/>
      <c r="HI20" s="129"/>
      <c r="HJ20" s="129"/>
      <c r="HK20" s="129"/>
      <c r="HL20" s="129"/>
      <c r="HM20" s="129"/>
      <c r="HN20" s="129"/>
      <c r="HO20" s="129"/>
      <c r="HP20" s="129"/>
      <c r="HQ20" s="129"/>
      <c r="HR20" s="129"/>
      <c r="HS20" s="129"/>
      <c r="HT20" s="129"/>
      <c r="HU20" s="129"/>
      <c r="HV20" s="129"/>
      <c r="HW20" s="129"/>
      <c r="HX20" s="129"/>
      <c r="HY20" s="129"/>
      <c r="HZ20" s="129"/>
      <c r="IA20" s="129"/>
      <c r="IB20" s="129"/>
      <c r="IC20" s="129"/>
      <c r="ID20" s="129"/>
      <c r="IE20" s="129"/>
      <c r="IF20" s="129"/>
      <c r="IG20" s="129"/>
      <c r="IH20" s="129"/>
      <c r="II20" s="129"/>
      <c r="IJ20" s="129"/>
      <c r="IK20" s="129"/>
      <c r="IL20" s="129"/>
      <c r="IM20" s="129"/>
      <c r="IN20" s="129"/>
      <c r="IO20" s="129"/>
      <c r="IP20" s="129"/>
      <c r="IQ20" s="129"/>
      <c r="IR20" s="129"/>
      <c r="IS20" s="129"/>
      <c r="IT20" s="129"/>
      <c r="IU20" s="129"/>
      <c r="IV20" s="129"/>
    </row>
    <row r="21" spans="1:256" ht="15.75" customHeight="1" x14ac:dyDescent="0.25">
      <c r="A21" s="276" t="s">
        <v>1</v>
      </c>
      <c r="B21" s="262" t="s">
        <v>232</v>
      </c>
      <c r="C21" s="263"/>
      <c r="D21" s="266" t="s">
        <v>233</v>
      </c>
      <c r="E21" s="262" t="s">
        <v>234</v>
      </c>
      <c r="F21" s="263"/>
      <c r="G21" s="262" t="s">
        <v>235</v>
      </c>
      <c r="H21" s="263"/>
      <c r="I21" s="262" t="s">
        <v>236</v>
      </c>
      <c r="J21" s="263"/>
      <c r="K21" s="266" t="s">
        <v>237</v>
      </c>
      <c r="L21" s="262" t="s">
        <v>238</v>
      </c>
      <c r="M21" s="263"/>
      <c r="N21" s="262" t="s">
        <v>239</v>
      </c>
      <c r="O21" s="263"/>
      <c r="P21" s="266" t="s">
        <v>240</v>
      </c>
      <c r="Q21" s="271" t="s">
        <v>241</v>
      </c>
      <c r="R21" s="272"/>
      <c r="S21" s="271" t="s">
        <v>242</v>
      </c>
      <c r="T21" s="273"/>
    </row>
    <row r="22" spans="1:256" ht="267.75" x14ac:dyDescent="0.25">
      <c r="A22" s="277"/>
      <c r="B22" s="264"/>
      <c r="C22" s="265"/>
      <c r="D22" s="268"/>
      <c r="E22" s="264"/>
      <c r="F22" s="265"/>
      <c r="G22" s="264"/>
      <c r="H22" s="265"/>
      <c r="I22" s="264"/>
      <c r="J22" s="265"/>
      <c r="K22" s="267"/>
      <c r="L22" s="264"/>
      <c r="M22" s="265"/>
      <c r="N22" s="264"/>
      <c r="O22" s="265"/>
      <c r="P22" s="267"/>
      <c r="Q22" s="131" t="s">
        <v>243</v>
      </c>
      <c r="R22" s="131" t="s">
        <v>244</v>
      </c>
      <c r="S22" s="131" t="s">
        <v>245</v>
      </c>
      <c r="T22" s="131" t="s">
        <v>246</v>
      </c>
    </row>
    <row r="23" spans="1:256" x14ac:dyDescent="0.25">
      <c r="A23" s="278"/>
      <c r="B23" s="131" t="s">
        <v>247</v>
      </c>
      <c r="C23" s="131" t="s">
        <v>248</v>
      </c>
      <c r="D23" s="267"/>
      <c r="E23" s="131" t="s">
        <v>247</v>
      </c>
      <c r="F23" s="131" t="s">
        <v>248</v>
      </c>
      <c r="G23" s="131" t="s">
        <v>247</v>
      </c>
      <c r="H23" s="131" t="s">
        <v>248</v>
      </c>
      <c r="I23" s="131" t="s">
        <v>247</v>
      </c>
      <c r="J23" s="131" t="s">
        <v>248</v>
      </c>
      <c r="K23" s="131" t="s">
        <v>247</v>
      </c>
      <c r="L23" s="131" t="s">
        <v>247</v>
      </c>
      <c r="M23" s="131" t="s">
        <v>248</v>
      </c>
      <c r="N23" s="131" t="s">
        <v>247</v>
      </c>
      <c r="O23" s="131" t="s">
        <v>248</v>
      </c>
      <c r="P23" s="130" t="s">
        <v>247</v>
      </c>
      <c r="Q23" s="131" t="s">
        <v>247</v>
      </c>
      <c r="R23" s="131" t="s">
        <v>247</v>
      </c>
      <c r="S23" s="131" t="s">
        <v>247</v>
      </c>
      <c r="T23" s="131" t="s">
        <v>247</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x14ac:dyDescent="0.25">
      <c r="A25" s="133">
        <v>1</v>
      </c>
      <c r="B25" s="134" t="s">
        <v>229</v>
      </c>
      <c r="C25" s="134" t="s">
        <v>229</v>
      </c>
      <c r="D25" s="134" t="s">
        <v>229</v>
      </c>
      <c r="E25" s="134" t="s">
        <v>229</v>
      </c>
      <c r="F25" s="134" t="s">
        <v>229</v>
      </c>
      <c r="G25" s="134" t="s">
        <v>229</v>
      </c>
      <c r="H25" s="134" t="s">
        <v>229</v>
      </c>
      <c r="I25" s="134" t="s">
        <v>229</v>
      </c>
      <c r="J25" s="134" t="s">
        <v>229</v>
      </c>
      <c r="K25" s="134" t="s">
        <v>229</v>
      </c>
      <c r="L25" s="134" t="s">
        <v>229</v>
      </c>
      <c r="M25" s="134" t="s">
        <v>229</v>
      </c>
      <c r="N25" s="134" t="s">
        <v>229</v>
      </c>
      <c r="O25" s="134" t="s">
        <v>229</v>
      </c>
      <c r="P25" s="134" t="s">
        <v>229</v>
      </c>
      <c r="Q25" s="134" t="s">
        <v>229</v>
      </c>
      <c r="R25" s="134" t="s">
        <v>229</v>
      </c>
      <c r="S25" s="134" t="s">
        <v>229</v>
      </c>
      <c r="T25" s="134" t="s">
        <v>229</v>
      </c>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c r="BM25" s="135"/>
      <c r="BN25" s="135"/>
      <c r="BO25" s="135"/>
      <c r="BP25" s="135"/>
      <c r="BQ25" s="135"/>
      <c r="BR25" s="135"/>
      <c r="BS25" s="135"/>
      <c r="BT25" s="135"/>
      <c r="BU25" s="135"/>
      <c r="BV25" s="135"/>
      <c r="BW25" s="135"/>
      <c r="BX25" s="135"/>
      <c r="BY25" s="135"/>
      <c r="BZ25" s="135"/>
      <c r="CA25" s="135"/>
      <c r="CB25" s="135"/>
      <c r="CC25" s="135"/>
      <c r="CD25" s="135"/>
      <c r="CE25" s="135"/>
      <c r="CF25" s="135"/>
      <c r="CG25" s="135"/>
      <c r="CH25" s="135"/>
      <c r="CI25" s="135"/>
      <c r="CJ25" s="135"/>
      <c r="CK25" s="135"/>
      <c r="CL25" s="135"/>
      <c r="CM25" s="135"/>
      <c r="CN25" s="135"/>
      <c r="CO25" s="135"/>
      <c r="CP25" s="135"/>
      <c r="CQ25" s="135"/>
      <c r="CR25" s="135"/>
      <c r="CS25" s="135"/>
      <c r="CT25" s="135"/>
      <c r="CU25" s="135"/>
      <c r="CV25" s="135"/>
      <c r="CW25" s="135"/>
      <c r="CX25" s="135"/>
      <c r="CY25" s="135"/>
      <c r="CZ25" s="135"/>
      <c r="DA25" s="135"/>
      <c r="DB25" s="135"/>
      <c r="DC25" s="135"/>
      <c r="DD25" s="135"/>
      <c r="DE25" s="135"/>
      <c r="DF25" s="135"/>
      <c r="DG25" s="135"/>
      <c r="DH25" s="135"/>
      <c r="DI25" s="135"/>
      <c r="DJ25" s="135"/>
      <c r="DK25" s="135"/>
      <c r="DL25" s="135"/>
      <c r="DM25" s="135"/>
      <c r="DN25" s="135"/>
      <c r="DO25" s="135"/>
      <c r="DP25" s="135"/>
      <c r="DQ25" s="135"/>
      <c r="DR25" s="135"/>
      <c r="DS25" s="135"/>
      <c r="DT25" s="135"/>
      <c r="DU25" s="135"/>
      <c r="DV25" s="135"/>
      <c r="DW25" s="135"/>
      <c r="DX25" s="135"/>
      <c r="DY25" s="135"/>
      <c r="DZ25" s="135"/>
      <c r="EA25" s="135"/>
      <c r="EB25" s="135"/>
      <c r="EC25" s="135"/>
      <c r="ED25" s="135"/>
      <c r="EE25" s="135"/>
      <c r="EF25" s="135"/>
      <c r="EG25" s="135"/>
      <c r="EH25" s="135"/>
      <c r="EI25" s="135"/>
      <c r="EJ25" s="135"/>
      <c r="EK25" s="135"/>
      <c r="EL25" s="135"/>
      <c r="EM25" s="135"/>
      <c r="EN25" s="135"/>
      <c r="EO25" s="135"/>
      <c r="EP25" s="135"/>
      <c r="EQ25" s="135"/>
      <c r="ER25" s="135"/>
      <c r="ES25" s="135"/>
      <c r="ET25" s="135"/>
      <c r="EU25" s="135"/>
      <c r="EV25" s="135"/>
      <c r="EW25" s="135"/>
      <c r="EX25" s="135"/>
      <c r="EY25" s="135"/>
      <c r="EZ25" s="135"/>
      <c r="FA25" s="135"/>
      <c r="FB25" s="135"/>
      <c r="FC25" s="135"/>
      <c r="FD25" s="135"/>
      <c r="FE25" s="135"/>
      <c r="FF25" s="135"/>
      <c r="FG25" s="135"/>
      <c r="FH25" s="135"/>
      <c r="FI25" s="135"/>
      <c r="FJ25" s="135"/>
      <c r="FK25" s="135"/>
      <c r="FL25" s="135"/>
      <c r="FM25" s="135"/>
      <c r="FN25" s="135"/>
      <c r="FO25" s="135"/>
      <c r="FP25" s="135"/>
      <c r="FQ25" s="135"/>
      <c r="FR25" s="135"/>
      <c r="FS25" s="135"/>
      <c r="FT25" s="135"/>
      <c r="FU25" s="135"/>
      <c r="FV25" s="135"/>
      <c r="FW25" s="135"/>
      <c r="FX25" s="135"/>
      <c r="FY25" s="135"/>
      <c r="FZ25" s="135"/>
      <c r="GA25" s="135"/>
      <c r="GB25" s="135"/>
      <c r="GC25" s="135"/>
      <c r="GD25" s="135"/>
      <c r="GE25" s="135"/>
      <c r="GF25" s="135"/>
      <c r="GG25" s="135"/>
      <c r="GH25" s="135"/>
      <c r="GI25" s="135"/>
      <c r="GJ25" s="135"/>
      <c r="GK25" s="135"/>
      <c r="GL25" s="135"/>
      <c r="GM25" s="135"/>
      <c r="GN25" s="135"/>
      <c r="GO25" s="135"/>
      <c r="GP25" s="135"/>
      <c r="GQ25" s="135"/>
      <c r="GR25" s="135"/>
      <c r="GS25" s="135"/>
      <c r="GT25" s="135"/>
      <c r="GU25" s="135"/>
      <c r="GV25" s="135"/>
      <c r="GW25" s="135"/>
      <c r="GX25" s="135"/>
      <c r="GY25" s="135"/>
      <c r="GZ25" s="135"/>
      <c r="HA25" s="135"/>
      <c r="HB25" s="135"/>
      <c r="HC25" s="135"/>
      <c r="HD25" s="135"/>
      <c r="HE25" s="135"/>
      <c r="HF25" s="135"/>
      <c r="HG25" s="135"/>
      <c r="HH25" s="135"/>
      <c r="HI25" s="135"/>
      <c r="HJ25" s="135"/>
      <c r="HK25" s="135"/>
      <c r="HL25" s="135"/>
      <c r="HM25" s="135"/>
      <c r="HN25" s="135"/>
      <c r="HO25" s="135"/>
      <c r="HP25" s="135"/>
      <c r="HQ25" s="135"/>
      <c r="HR25" s="135"/>
      <c r="HS25" s="135"/>
      <c r="HT25" s="135"/>
      <c r="HU25" s="135"/>
      <c r="HV25" s="135"/>
      <c r="HW25" s="135"/>
      <c r="HX25" s="135"/>
      <c r="HY25" s="135"/>
      <c r="HZ25" s="135"/>
      <c r="IA25" s="135"/>
      <c r="IB25" s="135"/>
      <c r="IC25" s="135"/>
      <c r="ID25" s="135"/>
      <c r="IE25" s="135"/>
      <c r="IF25" s="135"/>
      <c r="IG25" s="135"/>
      <c r="IH25" s="135"/>
      <c r="II25" s="135"/>
      <c r="IJ25" s="135"/>
      <c r="IK25" s="135"/>
      <c r="IL25" s="135"/>
      <c r="IM25" s="135"/>
      <c r="IN25" s="135"/>
      <c r="IO25" s="135"/>
      <c r="IP25" s="135"/>
      <c r="IQ25" s="135"/>
      <c r="IR25" s="135"/>
      <c r="IS25" s="135"/>
      <c r="IT25" s="135"/>
      <c r="IU25" s="135"/>
      <c r="IV25" s="135"/>
    </row>
    <row r="27" spans="1:256" x14ac:dyDescent="0.25">
      <c r="A27" s="136"/>
      <c r="B27" s="137"/>
      <c r="C27" s="137"/>
      <c r="D27" s="136"/>
      <c r="E27" s="136"/>
      <c r="F27" s="136"/>
      <c r="G27" s="136"/>
      <c r="H27" s="136"/>
      <c r="I27" s="136"/>
      <c r="J27" s="136"/>
      <c r="K27" s="137"/>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c r="BC27" s="136"/>
      <c r="BD27" s="136"/>
      <c r="BE27" s="136"/>
      <c r="BF27" s="136"/>
      <c r="BG27" s="136"/>
      <c r="BH27" s="136"/>
      <c r="BI27" s="136"/>
      <c r="BJ27" s="136"/>
      <c r="BK27" s="136"/>
      <c r="BL27" s="136"/>
      <c r="BM27" s="136"/>
      <c r="BN27" s="136"/>
      <c r="BO27" s="136"/>
      <c r="BP27" s="136"/>
      <c r="BQ27" s="136"/>
      <c r="BR27" s="136"/>
      <c r="BS27" s="136"/>
      <c r="BT27" s="136"/>
      <c r="BU27" s="136"/>
      <c r="BV27" s="136"/>
      <c r="BW27" s="136"/>
      <c r="BX27" s="136"/>
      <c r="BY27" s="136"/>
      <c r="BZ27" s="136"/>
      <c r="CA27" s="136"/>
      <c r="CB27" s="136"/>
      <c r="CC27" s="136"/>
      <c r="CD27" s="136"/>
      <c r="CE27" s="136"/>
      <c r="CF27" s="136"/>
      <c r="CG27" s="136"/>
      <c r="CH27" s="136"/>
      <c r="CI27" s="136"/>
      <c r="CJ27" s="136"/>
      <c r="CK27" s="136"/>
      <c r="CL27" s="136"/>
      <c r="CM27" s="136"/>
      <c r="CN27" s="136"/>
      <c r="CO27" s="136"/>
      <c r="CP27" s="136"/>
      <c r="CQ27" s="136"/>
      <c r="CR27" s="136"/>
      <c r="CS27" s="136"/>
      <c r="CT27" s="136"/>
      <c r="CU27" s="136"/>
      <c r="CV27" s="136"/>
      <c r="CW27" s="136"/>
      <c r="CX27" s="136"/>
      <c r="CY27" s="136"/>
      <c r="CZ27" s="136"/>
      <c r="DA27" s="136"/>
      <c r="DB27" s="136"/>
      <c r="DC27" s="136"/>
      <c r="DD27" s="136"/>
      <c r="DE27" s="136"/>
      <c r="DF27" s="136"/>
      <c r="DG27" s="136"/>
      <c r="DH27" s="136"/>
      <c r="DI27" s="136"/>
      <c r="DJ27" s="136"/>
      <c r="DK27" s="136"/>
      <c r="DL27" s="136"/>
      <c r="DM27" s="136"/>
      <c r="DN27" s="136"/>
      <c r="DO27" s="136"/>
      <c r="DP27" s="136"/>
      <c r="DQ27" s="136"/>
      <c r="DR27" s="136"/>
      <c r="DS27" s="136"/>
      <c r="DT27" s="136"/>
      <c r="DU27" s="136"/>
      <c r="DV27" s="136"/>
      <c r="DW27" s="136"/>
      <c r="DX27" s="136"/>
      <c r="DY27" s="136"/>
      <c r="DZ27" s="136"/>
      <c r="EA27" s="136"/>
      <c r="EB27" s="136"/>
      <c r="EC27" s="136"/>
      <c r="ED27" s="136"/>
      <c r="EE27" s="136"/>
      <c r="EF27" s="136"/>
      <c r="EG27" s="136"/>
      <c r="EH27" s="136"/>
      <c r="EI27" s="136"/>
      <c r="EJ27" s="136"/>
      <c r="EK27" s="136"/>
      <c r="EL27" s="136"/>
      <c r="EM27" s="136"/>
      <c r="EN27" s="136"/>
      <c r="EO27" s="136"/>
      <c r="EP27" s="136"/>
      <c r="EQ27" s="136"/>
      <c r="ER27" s="136"/>
      <c r="ES27" s="136"/>
      <c r="ET27" s="136"/>
      <c r="EU27" s="136"/>
      <c r="EV27" s="136"/>
      <c r="EW27" s="136"/>
      <c r="EX27" s="136"/>
      <c r="EY27" s="136"/>
      <c r="EZ27" s="136"/>
      <c r="FA27" s="136"/>
      <c r="FB27" s="136"/>
      <c r="FC27" s="136"/>
      <c r="FD27" s="136"/>
      <c r="FE27" s="136"/>
      <c r="FF27" s="136"/>
      <c r="FG27" s="136"/>
      <c r="FH27" s="136"/>
      <c r="FI27" s="136"/>
      <c r="FJ27" s="136"/>
      <c r="FK27" s="136"/>
      <c r="FL27" s="136"/>
      <c r="FM27" s="136"/>
      <c r="FN27" s="136"/>
      <c r="FO27" s="136"/>
      <c r="FP27" s="136"/>
      <c r="FQ27" s="136"/>
      <c r="FR27" s="136"/>
      <c r="FS27" s="136"/>
      <c r="FT27" s="136"/>
      <c r="FU27" s="136"/>
      <c r="FV27" s="136"/>
      <c r="FW27" s="136"/>
      <c r="FX27" s="136"/>
      <c r="FY27" s="136"/>
      <c r="FZ27" s="136"/>
      <c r="GA27" s="136"/>
      <c r="GB27" s="136"/>
      <c r="GC27" s="136"/>
      <c r="GD27" s="136"/>
      <c r="GE27" s="136"/>
      <c r="GF27" s="136"/>
      <c r="GG27" s="136"/>
      <c r="GH27" s="136"/>
      <c r="GI27" s="136"/>
      <c r="GJ27" s="136"/>
      <c r="GK27" s="136"/>
      <c r="GL27" s="136"/>
      <c r="GM27" s="136"/>
      <c r="GN27" s="136"/>
      <c r="GO27" s="136"/>
      <c r="GP27" s="136"/>
      <c r="GQ27" s="136"/>
      <c r="GR27" s="136"/>
      <c r="GS27" s="136"/>
      <c r="GT27" s="136"/>
      <c r="GU27" s="136"/>
      <c r="GV27" s="136"/>
      <c r="GW27" s="136"/>
      <c r="GX27" s="136"/>
      <c r="GY27" s="136"/>
      <c r="GZ27" s="136"/>
      <c r="HA27" s="136"/>
      <c r="HB27" s="136"/>
      <c r="HC27" s="136"/>
      <c r="HD27" s="136"/>
      <c r="HE27" s="136"/>
      <c r="HF27" s="136"/>
      <c r="HG27" s="136"/>
      <c r="HH27" s="136"/>
      <c r="HI27" s="136"/>
      <c r="HJ27" s="136"/>
      <c r="HK27" s="136"/>
      <c r="HL27" s="136"/>
      <c r="HM27" s="136"/>
      <c r="HN27" s="136"/>
      <c r="HO27" s="136"/>
      <c r="HP27" s="136"/>
      <c r="HQ27" s="136"/>
      <c r="HR27" s="136"/>
      <c r="HS27" s="136"/>
      <c r="HT27" s="136"/>
      <c r="HU27" s="136"/>
      <c r="HV27" s="136"/>
      <c r="HW27" s="136"/>
      <c r="HX27" s="136"/>
      <c r="HY27" s="136"/>
      <c r="HZ27" s="136"/>
      <c r="IA27" s="136"/>
      <c r="IB27" s="136"/>
      <c r="IC27" s="136"/>
      <c r="ID27" s="136"/>
      <c r="IE27" s="136"/>
      <c r="IF27" s="136"/>
      <c r="IG27" s="136"/>
      <c r="IH27" s="136"/>
      <c r="II27" s="136"/>
      <c r="IJ27" s="136"/>
      <c r="IK27" s="136"/>
      <c r="IL27" s="136"/>
      <c r="IM27" s="136"/>
      <c r="IN27" s="136"/>
      <c r="IO27" s="136"/>
      <c r="IP27" s="136"/>
      <c r="IQ27" s="136"/>
      <c r="IR27" s="136"/>
      <c r="IS27" s="136"/>
      <c r="IT27" s="136"/>
      <c r="IU27" s="136"/>
      <c r="IV27" s="136"/>
    </row>
  </sheetData>
  <mergeCells count="26">
    <mergeCell ref="S21:T21"/>
    <mergeCell ref="A19:T19"/>
    <mergeCell ref="A20:T20"/>
    <mergeCell ref="A21:A23"/>
    <mergeCell ref="B21:C22"/>
    <mergeCell ref="A12:T12"/>
    <mergeCell ref="G21:H22"/>
    <mergeCell ref="I21:J22"/>
    <mergeCell ref="K21:K22"/>
    <mergeCell ref="L21:M22"/>
    <mergeCell ref="A13:T13"/>
    <mergeCell ref="A14:T14"/>
    <mergeCell ref="D21:D23"/>
    <mergeCell ref="E21:F22"/>
    <mergeCell ref="A17:T17"/>
    <mergeCell ref="A18:T18"/>
    <mergeCell ref="N21:O22"/>
    <mergeCell ref="P21:P22"/>
    <mergeCell ref="A15:T15"/>
    <mergeCell ref="A16:T16"/>
    <mergeCell ref="Q21:R21"/>
    <mergeCell ref="A6:T6"/>
    <mergeCell ref="A8:T8"/>
    <mergeCell ref="A9:T9"/>
    <mergeCell ref="A10:T10"/>
    <mergeCell ref="A11:T11"/>
  </mergeCells>
  <phoneticPr fontId="7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60" zoomScaleNormal="60" workbookViewId="0">
      <selection activeCell="A6" sqref="A6"/>
    </sheetView>
  </sheetViews>
  <sheetFormatPr defaultColWidth="9.140625" defaultRowHeight="15.75" x14ac:dyDescent="0.25"/>
  <cols>
    <col min="1" max="16384" width="9.140625" style="138"/>
  </cols>
  <sheetData>
    <row r="1" spans="1:256" ht="18.75" x14ac:dyDescent="0.25">
      <c r="AA1" s="33" t="s">
        <v>22</v>
      </c>
    </row>
    <row r="2" spans="1:256" ht="18.75" x14ac:dyDescent="0.3">
      <c r="A2" s="106"/>
      <c r="B2" s="106"/>
      <c r="C2" s="106"/>
      <c r="D2" s="106"/>
      <c r="E2" s="16"/>
      <c r="F2" s="106"/>
      <c r="G2" s="106"/>
      <c r="H2" s="106"/>
      <c r="I2" s="106"/>
      <c r="J2" s="106"/>
      <c r="K2" s="106"/>
      <c r="L2" s="106"/>
      <c r="M2" s="106"/>
      <c r="N2" s="106"/>
      <c r="O2" s="106"/>
      <c r="P2" s="106"/>
      <c r="Q2" s="125"/>
      <c r="R2" s="125"/>
      <c r="S2" s="106"/>
      <c r="T2" s="106"/>
      <c r="U2" s="106"/>
      <c r="V2" s="106"/>
      <c r="W2" s="106"/>
      <c r="X2" s="106"/>
      <c r="Y2" s="106"/>
      <c r="Z2" s="106"/>
      <c r="AA2" s="13" t="s">
        <v>6</v>
      </c>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c r="IM2" s="106"/>
      <c r="IN2" s="106"/>
      <c r="IO2" s="106"/>
      <c r="IP2" s="106"/>
      <c r="IQ2" s="106"/>
      <c r="IR2" s="106"/>
      <c r="IS2" s="106"/>
      <c r="IT2" s="106"/>
      <c r="IU2" s="106"/>
      <c r="IV2" s="106"/>
    </row>
    <row r="3" spans="1:256" ht="18.75" x14ac:dyDescent="0.3">
      <c r="A3" s="106"/>
      <c r="B3" s="106"/>
      <c r="C3" s="106"/>
      <c r="D3" s="106"/>
      <c r="E3" s="16"/>
      <c r="F3" s="106"/>
      <c r="G3" s="106"/>
      <c r="H3" s="106"/>
      <c r="I3" s="106"/>
      <c r="J3" s="106"/>
      <c r="K3" s="106"/>
      <c r="L3" s="106"/>
      <c r="M3" s="106"/>
      <c r="N3" s="106"/>
      <c r="O3" s="106"/>
      <c r="P3" s="106"/>
      <c r="Q3" s="125"/>
      <c r="R3" s="125"/>
      <c r="S3" s="106"/>
      <c r="T3" s="106"/>
      <c r="U3" s="106"/>
      <c r="V3" s="106"/>
      <c r="W3" s="106"/>
      <c r="X3" s="106"/>
      <c r="Y3" s="106"/>
      <c r="Z3" s="106"/>
      <c r="AA3" s="13" t="s">
        <v>21</v>
      </c>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c r="IM3" s="106"/>
      <c r="IN3" s="106"/>
      <c r="IO3" s="106"/>
      <c r="IP3" s="106"/>
      <c r="IQ3" s="106"/>
      <c r="IR3" s="106"/>
      <c r="IS3" s="106"/>
      <c r="IT3" s="106"/>
      <c r="IU3" s="106"/>
      <c r="IV3" s="106"/>
    </row>
    <row r="4" spans="1:256" x14ac:dyDescent="0.25">
      <c r="A4" s="106"/>
      <c r="B4" s="106"/>
      <c r="C4" s="106"/>
      <c r="D4" s="106"/>
      <c r="E4" s="139"/>
      <c r="F4" s="106"/>
      <c r="G4" s="106"/>
      <c r="H4" s="106"/>
      <c r="I4" s="106"/>
      <c r="J4" s="106"/>
      <c r="K4" s="106"/>
      <c r="L4" s="106"/>
      <c r="M4" s="106"/>
      <c r="N4" s="106"/>
      <c r="O4" s="106"/>
      <c r="P4" s="106"/>
      <c r="Q4" s="125"/>
      <c r="R4" s="125"/>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c r="AX4" s="106"/>
      <c r="AY4" s="106"/>
      <c r="AZ4" s="106"/>
      <c r="BA4" s="106"/>
      <c r="BB4" s="106"/>
      <c r="BC4" s="106"/>
      <c r="BD4" s="106"/>
      <c r="BE4" s="106"/>
      <c r="BF4" s="106"/>
      <c r="BG4" s="106"/>
      <c r="BH4" s="106"/>
      <c r="BI4" s="106"/>
      <c r="BJ4" s="106"/>
      <c r="BK4" s="106"/>
      <c r="BL4" s="106"/>
      <c r="BM4" s="106"/>
      <c r="BN4" s="106"/>
      <c r="BO4" s="106"/>
      <c r="BP4" s="106"/>
      <c r="BQ4" s="106"/>
      <c r="BR4" s="106"/>
      <c r="BS4" s="106"/>
      <c r="BT4" s="106"/>
      <c r="BU4" s="106"/>
      <c r="BV4" s="106"/>
      <c r="BW4" s="106"/>
      <c r="BX4" s="106"/>
      <c r="BY4" s="106"/>
      <c r="BZ4" s="106"/>
      <c r="CA4" s="106"/>
      <c r="CB4" s="106"/>
      <c r="CC4" s="106"/>
      <c r="CD4" s="106"/>
      <c r="CE4" s="106"/>
      <c r="CF4" s="106"/>
      <c r="CG4" s="106"/>
      <c r="CH4" s="106"/>
      <c r="CI4" s="106"/>
      <c r="CJ4" s="106"/>
      <c r="CK4" s="106"/>
      <c r="CL4" s="106"/>
      <c r="CM4" s="106"/>
      <c r="CN4" s="106"/>
      <c r="CO4" s="106"/>
      <c r="CP4" s="106"/>
      <c r="CQ4" s="106"/>
      <c r="CR4" s="106"/>
      <c r="CS4" s="106"/>
      <c r="CT4" s="106"/>
      <c r="CU4" s="106"/>
      <c r="CV4" s="106"/>
      <c r="CW4" s="106"/>
      <c r="CX4" s="106"/>
      <c r="CY4" s="106"/>
      <c r="CZ4" s="106"/>
      <c r="DA4" s="106"/>
      <c r="DB4" s="106"/>
      <c r="DC4" s="106"/>
      <c r="DD4" s="106"/>
      <c r="DE4" s="106"/>
      <c r="DF4" s="106"/>
      <c r="DG4" s="106"/>
      <c r="DH4" s="106"/>
      <c r="DI4" s="106"/>
      <c r="DJ4" s="106"/>
      <c r="DK4" s="106"/>
      <c r="DL4" s="106"/>
      <c r="DM4" s="106"/>
      <c r="DN4" s="106"/>
      <c r="DO4" s="106"/>
      <c r="DP4" s="106"/>
      <c r="DQ4" s="106"/>
      <c r="DR4" s="106"/>
      <c r="DS4" s="106"/>
      <c r="DT4" s="106"/>
      <c r="DU4" s="106"/>
      <c r="DV4" s="106"/>
      <c r="DW4" s="106"/>
      <c r="DX4" s="106"/>
      <c r="DY4" s="106"/>
      <c r="DZ4" s="106"/>
      <c r="EA4" s="106"/>
      <c r="EB4" s="106"/>
      <c r="EC4" s="106"/>
      <c r="ED4" s="106"/>
      <c r="EE4" s="106"/>
      <c r="EF4" s="106"/>
      <c r="EG4" s="106"/>
      <c r="EH4" s="106"/>
      <c r="EI4" s="106"/>
      <c r="EJ4" s="106"/>
      <c r="EK4" s="106"/>
      <c r="EL4" s="106"/>
      <c r="EM4" s="106"/>
      <c r="EN4" s="106"/>
      <c r="EO4" s="106"/>
      <c r="EP4" s="106"/>
      <c r="EQ4" s="106"/>
      <c r="ER4" s="106"/>
      <c r="ES4" s="106"/>
      <c r="ET4" s="106"/>
      <c r="EU4" s="106"/>
      <c r="EV4" s="106"/>
      <c r="EW4" s="106"/>
      <c r="EX4" s="106"/>
      <c r="EY4" s="106"/>
      <c r="EZ4" s="106"/>
      <c r="FA4" s="106"/>
      <c r="FB4" s="106"/>
      <c r="FC4" s="106"/>
      <c r="FD4" s="106"/>
      <c r="FE4" s="106"/>
      <c r="FF4" s="106"/>
      <c r="FG4" s="106"/>
      <c r="FH4" s="106"/>
      <c r="FI4" s="106"/>
      <c r="FJ4" s="106"/>
      <c r="FK4" s="106"/>
      <c r="FL4" s="106"/>
      <c r="FM4" s="106"/>
      <c r="FN4" s="106"/>
      <c r="FO4" s="106"/>
      <c r="FP4" s="106"/>
      <c r="FQ4" s="106"/>
      <c r="FR4" s="106"/>
      <c r="FS4" s="106"/>
      <c r="FT4" s="106"/>
      <c r="FU4" s="106"/>
      <c r="FV4" s="106"/>
      <c r="FW4" s="106"/>
      <c r="FX4" s="106"/>
      <c r="FY4" s="106"/>
      <c r="FZ4" s="106"/>
      <c r="GA4" s="106"/>
      <c r="GB4" s="106"/>
      <c r="GC4" s="106"/>
      <c r="GD4" s="106"/>
      <c r="GE4" s="106"/>
      <c r="GF4" s="106"/>
      <c r="GG4" s="106"/>
      <c r="GH4" s="106"/>
      <c r="GI4" s="106"/>
      <c r="GJ4" s="106"/>
      <c r="GK4" s="106"/>
      <c r="GL4" s="106"/>
      <c r="GM4" s="106"/>
      <c r="GN4" s="106"/>
      <c r="GO4" s="106"/>
      <c r="GP4" s="106"/>
      <c r="GQ4" s="106"/>
      <c r="GR4" s="106"/>
      <c r="GS4" s="106"/>
      <c r="GT4" s="106"/>
      <c r="GU4" s="106"/>
      <c r="GV4" s="106"/>
      <c r="GW4" s="106"/>
      <c r="GX4" s="106"/>
      <c r="GY4" s="106"/>
      <c r="GZ4" s="106"/>
      <c r="HA4" s="106"/>
      <c r="HB4" s="106"/>
      <c r="HC4" s="106"/>
      <c r="HD4" s="106"/>
      <c r="HE4" s="106"/>
      <c r="HF4" s="106"/>
      <c r="HG4" s="106"/>
      <c r="HH4" s="106"/>
      <c r="HI4" s="106"/>
      <c r="HJ4" s="106"/>
      <c r="HK4" s="106"/>
      <c r="HL4" s="106"/>
      <c r="HM4" s="106"/>
      <c r="HN4" s="106"/>
      <c r="HO4" s="106"/>
      <c r="HP4" s="106"/>
      <c r="HQ4" s="106"/>
      <c r="HR4" s="106"/>
      <c r="HS4" s="106"/>
      <c r="HT4" s="106"/>
      <c r="HU4" s="106"/>
      <c r="HV4" s="106"/>
      <c r="HW4" s="106"/>
      <c r="HX4" s="106"/>
      <c r="HY4" s="106"/>
      <c r="HZ4" s="106"/>
      <c r="IA4" s="106"/>
      <c r="IB4" s="106"/>
      <c r="IC4" s="106"/>
      <c r="ID4" s="106"/>
      <c r="IE4" s="106"/>
      <c r="IF4" s="106"/>
      <c r="IG4" s="106"/>
      <c r="IH4" s="106"/>
      <c r="II4" s="106"/>
      <c r="IJ4" s="106"/>
      <c r="IK4" s="106"/>
      <c r="IL4" s="106"/>
      <c r="IM4" s="106"/>
      <c r="IN4" s="106"/>
      <c r="IO4" s="106"/>
      <c r="IP4" s="106"/>
      <c r="IQ4" s="106"/>
      <c r="IR4" s="106"/>
      <c r="IS4" s="106"/>
      <c r="IT4" s="106"/>
      <c r="IU4" s="106"/>
      <c r="IV4" s="106"/>
    </row>
    <row r="5" spans="1:256" x14ac:dyDescent="0.25">
      <c r="A5" s="247" t="s">
        <v>462</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7"/>
      <c r="BX5" s="107"/>
      <c r="BY5" s="107"/>
      <c r="BZ5" s="107"/>
      <c r="CA5" s="107"/>
      <c r="CB5" s="107"/>
      <c r="CC5" s="107"/>
      <c r="CD5" s="107"/>
      <c r="CE5" s="107"/>
      <c r="CF5" s="107"/>
      <c r="CG5" s="107"/>
      <c r="CH5" s="107"/>
      <c r="CI5" s="107"/>
      <c r="CJ5" s="107"/>
      <c r="CK5" s="107"/>
      <c r="CL5" s="107"/>
      <c r="CM5" s="107"/>
      <c r="CN5" s="107"/>
      <c r="CO5" s="107"/>
      <c r="CP5" s="107"/>
      <c r="CQ5" s="107"/>
      <c r="CR5" s="107"/>
      <c r="CS5" s="107"/>
      <c r="CT5" s="107"/>
      <c r="CU5" s="107"/>
      <c r="CV5" s="107"/>
      <c r="CW5" s="107"/>
      <c r="CX5" s="107"/>
      <c r="CY5" s="107"/>
      <c r="CZ5" s="107"/>
      <c r="DA5" s="107"/>
      <c r="DB5" s="107"/>
      <c r="DC5" s="107"/>
      <c r="DD5" s="107"/>
      <c r="DE5" s="107"/>
      <c r="DF5" s="107"/>
      <c r="DG5" s="107"/>
      <c r="DH5" s="107"/>
      <c r="DI5" s="107"/>
      <c r="DJ5" s="107"/>
      <c r="DK5" s="107"/>
      <c r="DL5" s="107"/>
      <c r="DM5" s="107"/>
      <c r="DN5" s="107"/>
      <c r="DO5" s="107"/>
      <c r="DP5" s="107"/>
      <c r="DQ5" s="107"/>
      <c r="DR5" s="107"/>
      <c r="DS5" s="107"/>
      <c r="DT5" s="107"/>
      <c r="DU5" s="107"/>
      <c r="DV5" s="107"/>
      <c r="DW5" s="107"/>
      <c r="DX5" s="107"/>
      <c r="DY5" s="107"/>
      <c r="DZ5" s="107"/>
      <c r="EA5" s="107"/>
      <c r="EB5" s="107"/>
      <c r="EC5" s="107"/>
      <c r="ED5" s="107"/>
      <c r="EE5" s="107"/>
      <c r="EF5" s="107"/>
      <c r="EG5" s="107"/>
      <c r="EH5" s="107"/>
      <c r="EI5" s="107"/>
      <c r="EJ5" s="107"/>
      <c r="EK5" s="107"/>
      <c r="EL5" s="107"/>
      <c r="EM5" s="107"/>
      <c r="EN5" s="107"/>
      <c r="EO5" s="107"/>
      <c r="EP5" s="107"/>
      <c r="EQ5" s="107"/>
      <c r="ER5" s="107"/>
      <c r="ES5" s="107"/>
      <c r="ET5" s="107"/>
      <c r="EU5" s="107"/>
      <c r="EV5" s="107"/>
      <c r="EW5" s="107"/>
      <c r="EX5" s="107"/>
      <c r="EY5" s="107"/>
      <c r="EZ5" s="107"/>
      <c r="FA5" s="107"/>
      <c r="FB5" s="107"/>
      <c r="FC5" s="107"/>
      <c r="FD5" s="107"/>
      <c r="FE5" s="107"/>
      <c r="FF5" s="107"/>
      <c r="FG5" s="107"/>
      <c r="FH5" s="107"/>
      <c r="FI5" s="107"/>
      <c r="FJ5" s="107"/>
      <c r="FK5" s="107"/>
      <c r="FL5" s="107"/>
      <c r="FM5" s="107"/>
      <c r="FN5" s="107"/>
      <c r="FO5" s="107"/>
      <c r="FP5" s="107"/>
      <c r="FQ5" s="107"/>
      <c r="FR5" s="107"/>
      <c r="FS5" s="107"/>
      <c r="FT5" s="107"/>
      <c r="FU5" s="107"/>
      <c r="FV5" s="107"/>
      <c r="FW5" s="107"/>
      <c r="FX5" s="107"/>
      <c r="FY5" s="107"/>
      <c r="FZ5" s="107"/>
      <c r="GA5" s="107"/>
      <c r="GB5" s="107"/>
      <c r="GC5" s="107"/>
      <c r="GD5" s="107"/>
      <c r="GE5" s="107"/>
      <c r="GF5" s="107"/>
      <c r="GG5" s="107"/>
      <c r="GH5" s="107"/>
      <c r="GI5" s="107"/>
      <c r="GJ5" s="107"/>
      <c r="GK5" s="107"/>
      <c r="GL5" s="107"/>
      <c r="GM5" s="107"/>
      <c r="GN5" s="107"/>
      <c r="GO5" s="107"/>
      <c r="GP5" s="107"/>
      <c r="GQ5" s="107"/>
      <c r="GR5" s="107"/>
      <c r="GS5" s="107"/>
      <c r="GT5" s="107"/>
      <c r="GU5" s="107"/>
      <c r="GV5" s="107"/>
      <c r="GW5" s="107"/>
      <c r="GX5" s="107"/>
      <c r="GY5" s="107"/>
      <c r="GZ5" s="107"/>
      <c r="HA5" s="107"/>
      <c r="HB5" s="107"/>
      <c r="HC5" s="107"/>
      <c r="HD5" s="107"/>
      <c r="HE5" s="107"/>
      <c r="HF5" s="107"/>
      <c r="HG5" s="107"/>
      <c r="HH5" s="107"/>
      <c r="HI5" s="107"/>
      <c r="HJ5" s="107"/>
      <c r="HK5" s="107"/>
      <c r="HL5" s="107"/>
      <c r="HM5" s="107"/>
      <c r="HN5" s="107"/>
      <c r="HO5" s="107"/>
      <c r="HP5" s="107"/>
      <c r="HQ5" s="107"/>
      <c r="HR5" s="107"/>
      <c r="HS5" s="107"/>
      <c r="HT5" s="107"/>
      <c r="HU5" s="107"/>
      <c r="HV5" s="107"/>
      <c r="HW5" s="107"/>
      <c r="HX5" s="107"/>
      <c r="HY5" s="107"/>
      <c r="HZ5" s="107"/>
      <c r="IA5" s="107"/>
      <c r="IB5" s="107"/>
      <c r="IC5" s="107"/>
      <c r="ID5" s="107"/>
      <c r="IE5" s="107"/>
      <c r="IF5" s="107"/>
      <c r="IG5" s="107"/>
      <c r="IH5" s="107"/>
      <c r="II5" s="107"/>
      <c r="IJ5" s="107"/>
      <c r="IK5" s="107"/>
      <c r="IL5" s="107"/>
      <c r="IM5" s="107"/>
      <c r="IN5" s="107"/>
      <c r="IO5" s="107"/>
      <c r="IP5" s="107"/>
      <c r="IQ5" s="107"/>
      <c r="IR5" s="107"/>
      <c r="IS5" s="107"/>
      <c r="IT5" s="107"/>
      <c r="IU5" s="107"/>
      <c r="IV5" s="107"/>
    </row>
    <row r="6" spans="1:256" x14ac:dyDescent="0.25">
      <c r="A6" s="140"/>
      <c r="B6" s="140"/>
      <c r="C6" s="140"/>
      <c r="D6" s="140"/>
      <c r="E6" s="140"/>
      <c r="F6" s="140"/>
      <c r="G6" s="140"/>
      <c r="H6" s="140"/>
      <c r="I6" s="140"/>
      <c r="J6" s="140"/>
      <c r="K6" s="140"/>
      <c r="L6" s="140"/>
      <c r="M6" s="140"/>
      <c r="N6" s="140"/>
      <c r="O6" s="140"/>
      <c r="P6" s="140"/>
      <c r="Q6" s="140"/>
      <c r="R6" s="140"/>
      <c r="S6" s="140"/>
      <c r="T6" s="140"/>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07"/>
      <c r="BP6" s="107"/>
      <c r="BQ6" s="107"/>
      <c r="BR6" s="107"/>
      <c r="BS6" s="107"/>
      <c r="BT6" s="107"/>
      <c r="BU6" s="107"/>
      <c r="BV6" s="107"/>
      <c r="BW6" s="107"/>
      <c r="BX6" s="107"/>
      <c r="BY6" s="107"/>
      <c r="BZ6" s="107"/>
      <c r="CA6" s="107"/>
      <c r="CB6" s="107"/>
      <c r="CC6" s="107"/>
      <c r="CD6" s="107"/>
      <c r="CE6" s="107"/>
      <c r="CF6" s="107"/>
      <c r="CG6" s="107"/>
      <c r="CH6" s="107"/>
      <c r="CI6" s="107"/>
      <c r="CJ6" s="107"/>
      <c r="CK6" s="107"/>
      <c r="CL6" s="107"/>
      <c r="CM6" s="107"/>
      <c r="CN6" s="107"/>
      <c r="CO6" s="107"/>
      <c r="CP6" s="107"/>
      <c r="CQ6" s="107"/>
      <c r="CR6" s="107"/>
      <c r="CS6" s="107"/>
      <c r="CT6" s="107"/>
      <c r="CU6" s="107"/>
      <c r="CV6" s="107"/>
      <c r="CW6" s="107"/>
      <c r="CX6" s="107"/>
      <c r="CY6" s="107"/>
      <c r="CZ6" s="107"/>
      <c r="DA6" s="107"/>
      <c r="DB6" s="107"/>
      <c r="DC6" s="107"/>
      <c r="DD6" s="107"/>
      <c r="DE6" s="107"/>
      <c r="DF6" s="107"/>
      <c r="DG6" s="107"/>
      <c r="DH6" s="107"/>
      <c r="DI6" s="107"/>
      <c r="DJ6" s="107"/>
      <c r="DK6" s="107"/>
      <c r="DL6" s="107"/>
      <c r="DM6" s="107"/>
      <c r="DN6" s="107"/>
      <c r="DO6" s="107"/>
      <c r="DP6" s="107"/>
      <c r="DQ6" s="107"/>
      <c r="DR6" s="107"/>
      <c r="DS6" s="107"/>
      <c r="DT6" s="107"/>
      <c r="DU6" s="107"/>
      <c r="DV6" s="107"/>
      <c r="DW6" s="107"/>
      <c r="DX6" s="107"/>
      <c r="DY6" s="107"/>
      <c r="DZ6" s="107"/>
      <c r="EA6" s="107"/>
      <c r="EB6" s="107"/>
      <c r="EC6" s="107"/>
      <c r="ED6" s="107"/>
      <c r="EE6" s="107"/>
      <c r="EF6" s="107"/>
      <c r="EG6" s="107"/>
      <c r="EH6" s="107"/>
      <c r="EI6" s="107"/>
      <c r="EJ6" s="107"/>
      <c r="EK6" s="107"/>
      <c r="EL6" s="107"/>
      <c r="EM6" s="107"/>
      <c r="EN6" s="107"/>
      <c r="EO6" s="107"/>
      <c r="EP6" s="107"/>
      <c r="EQ6" s="107"/>
      <c r="ER6" s="107"/>
      <c r="ES6" s="107"/>
      <c r="ET6" s="107"/>
      <c r="EU6" s="107"/>
      <c r="EV6" s="107"/>
      <c r="EW6" s="107"/>
      <c r="EX6" s="107"/>
      <c r="EY6" s="107"/>
      <c r="EZ6" s="107"/>
      <c r="FA6" s="107"/>
      <c r="FB6" s="107"/>
      <c r="FC6" s="107"/>
      <c r="FD6" s="107"/>
      <c r="FE6" s="107"/>
      <c r="FF6" s="107"/>
      <c r="FG6" s="107"/>
      <c r="FH6" s="107"/>
      <c r="FI6" s="107"/>
      <c r="FJ6" s="107"/>
      <c r="FK6" s="107"/>
      <c r="FL6" s="107"/>
      <c r="FM6" s="107"/>
      <c r="FN6" s="107"/>
      <c r="FO6" s="107"/>
      <c r="FP6" s="107"/>
      <c r="FQ6" s="107"/>
      <c r="FR6" s="107"/>
      <c r="FS6" s="107"/>
      <c r="FT6" s="107"/>
      <c r="FU6" s="107"/>
      <c r="FV6" s="107"/>
      <c r="FW6" s="107"/>
      <c r="FX6" s="107"/>
      <c r="FY6" s="107"/>
      <c r="FZ6" s="107"/>
      <c r="GA6" s="107"/>
      <c r="GB6" s="107"/>
      <c r="GC6" s="107"/>
      <c r="GD6" s="107"/>
      <c r="GE6" s="107"/>
      <c r="GF6" s="107"/>
      <c r="GG6" s="107"/>
      <c r="GH6" s="107"/>
      <c r="GI6" s="107"/>
      <c r="GJ6" s="107"/>
      <c r="GK6" s="107"/>
      <c r="GL6" s="107"/>
      <c r="GM6" s="107"/>
      <c r="GN6" s="107"/>
      <c r="GO6" s="107"/>
      <c r="GP6" s="107"/>
      <c r="GQ6" s="107"/>
      <c r="GR6" s="107"/>
      <c r="GS6" s="107"/>
      <c r="GT6" s="107"/>
      <c r="GU6" s="107"/>
      <c r="GV6" s="107"/>
      <c r="GW6" s="107"/>
      <c r="GX6" s="107"/>
      <c r="GY6" s="107"/>
      <c r="GZ6" s="107"/>
      <c r="HA6" s="107"/>
      <c r="HB6" s="107"/>
      <c r="HC6" s="107"/>
      <c r="HD6" s="107"/>
      <c r="HE6" s="107"/>
      <c r="HF6" s="107"/>
      <c r="HG6" s="107"/>
      <c r="HH6" s="107"/>
      <c r="HI6" s="107"/>
      <c r="HJ6" s="107"/>
      <c r="HK6" s="107"/>
      <c r="HL6" s="107"/>
      <c r="HM6" s="107"/>
      <c r="HN6" s="107"/>
      <c r="HO6" s="107"/>
      <c r="HP6" s="107"/>
      <c r="HQ6" s="107"/>
      <c r="HR6" s="107"/>
      <c r="HS6" s="107"/>
      <c r="HT6" s="107"/>
      <c r="HU6" s="107"/>
      <c r="HV6" s="107"/>
      <c r="HW6" s="107"/>
      <c r="HX6" s="107"/>
      <c r="HY6" s="107"/>
      <c r="HZ6" s="107"/>
      <c r="IA6" s="107"/>
      <c r="IB6" s="107"/>
      <c r="IC6" s="107"/>
      <c r="ID6" s="107"/>
      <c r="IE6" s="107"/>
      <c r="IF6" s="107"/>
      <c r="IG6" s="107"/>
      <c r="IH6" s="107"/>
      <c r="II6" s="107"/>
      <c r="IJ6" s="107"/>
      <c r="IK6" s="107"/>
      <c r="IL6" s="107"/>
      <c r="IM6" s="107"/>
      <c r="IN6" s="107"/>
      <c r="IO6" s="107"/>
      <c r="IP6" s="107"/>
      <c r="IQ6" s="107"/>
      <c r="IR6" s="107"/>
      <c r="IS6" s="107"/>
      <c r="IT6" s="107"/>
      <c r="IU6" s="107"/>
      <c r="IV6" s="107"/>
    </row>
    <row r="7" spans="1:256" ht="18.75" x14ac:dyDescent="0.25">
      <c r="A7" s="107"/>
      <c r="B7" s="107"/>
      <c r="C7" s="107"/>
      <c r="D7" s="107"/>
      <c r="E7" s="248" t="s">
        <v>5</v>
      </c>
      <c r="F7" s="248"/>
      <c r="G7" s="248"/>
      <c r="H7" s="248"/>
      <c r="I7" s="248"/>
      <c r="J7" s="248"/>
      <c r="K7" s="248"/>
      <c r="L7" s="248"/>
      <c r="M7" s="248"/>
      <c r="N7" s="248"/>
      <c r="O7" s="248"/>
      <c r="P7" s="248"/>
      <c r="Q7" s="248"/>
      <c r="R7" s="248"/>
      <c r="S7" s="248"/>
      <c r="T7" s="248"/>
      <c r="U7" s="248"/>
      <c r="V7" s="248"/>
      <c r="W7" s="248"/>
      <c r="X7" s="248"/>
      <c r="Y7" s="248"/>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D7" s="107"/>
      <c r="CE7" s="107"/>
      <c r="CF7" s="107"/>
      <c r="CG7" s="107"/>
      <c r="CH7" s="107"/>
      <c r="CI7" s="107"/>
      <c r="CJ7" s="107"/>
      <c r="CK7" s="107"/>
      <c r="CL7" s="107"/>
      <c r="CM7" s="107"/>
      <c r="CN7" s="107"/>
      <c r="CO7" s="107"/>
      <c r="CP7" s="107"/>
      <c r="CQ7" s="107"/>
      <c r="CR7" s="107"/>
      <c r="CS7" s="107"/>
      <c r="CT7" s="107"/>
      <c r="CU7" s="107"/>
      <c r="CV7" s="107"/>
      <c r="CW7" s="107"/>
      <c r="CX7" s="107"/>
      <c r="CY7" s="107"/>
      <c r="CZ7" s="107"/>
      <c r="DA7" s="107"/>
      <c r="DB7" s="107"/>
      <c r="DC7" s="107"/>
      <c r="DD7" s="107"/>
      <c r="DE7" s="107"/>
      <c r="DF7" s="107"/>
      <c r="DG7" s="107"/>
      <c r="DH7" s="107"/>
      <c r="DI7" s="107"/>
      <c r="DJ7" s="107"/>
      <c r="DK7" s="107"/>
      <c r="DL7" s="107"/>
      <c r="DM7" s="107"/>
      <c r="DN7" s="107"/>
      <c r="DO7" s="107"/>
      <c r="DP7" s="107"/>
      <c r="DQ7" s="107"/>
      <c r="DR7" s="107"/>
      <c r="DS7" s="107"/>
      <c r="DT7" s="107"/>
      <c r="DU7" s="107"/>
      <c r="DV7" s="107"/>
      <c r="DW7" s="107"/>
      <c r="DX7" s="107"/>
      <c r="DY7" s="107"/>
      <c r="DZ7" s="107"/>
      <c r="EA7" s="107"/>
      <c r="EB7" s="107"/>
      <c r="EC7" s="107"/>
      <c r="ED7" s="107"/>
      <c r="EE7" s="107"/>
      <c r="EF7" s="107"/>
      <c r="EG7" s="107"/>
      <c r="EH7" s="107"/>
      <c r="EI7" s="107"/>
      <c r="EJ7" s="107"/>
      <c r="EK7" s="107"/>
      <c r="EL7" s="107"/>
      <c r="EM7" s="107"/>
      <c r="EN7" s="107"/>
      <c r="EO7" s="107"/>
      <c r="EP7" s="107"/>
      <c r="EQ7" s="107"/>
      <c r="ER7" s="107"/>
      <c r="ES7" s="107"/>
      <c r="ET7" s="107"/>
      <c r="EU7" s="107"/>
      <c r="EV7" s="107"/>
      <c r="EW7" s="107"/>
      <c r="EX7" s="107"/>
      <c r="EY7" s="107"/>
      <c r="EZ7" s="107"/>
      <c r="FA7" s="107"/>
      <c r="FB7" s="107"/>
      <c r="FC7" s="107"/>
      <c r="FD7" s="107"/>
      <c r="FE7" s="107"/>
      <c r="FF7" s="107"/>
      <c r="FG7" s="107"/>
      <c r="FH7" s="107"/>
      <c r="FI7" s="107"/>
      <c r="FJ7" s="107"/>
      <c r="FK7" s="107"/>
      <c r="FL7" s="107"/>
      <c r="FM7" s="107"/>
      <c r="FN7" s="107"/>
      <c r="FO7" s="107"/>
      <c r="FP7" s="107"/>
      <c r="FQ7" s="107"/>
      <c r="FR7" s="107"/>
      <c r="FS7" s="107"/>
      <c r="FT7" s="107"/>
      <c r="FU7" s="107"/>
      <c r="FV7" s="107"/>
      <c r="FW7" s="107"/>
      <c r="FX7" s="107"/>
      <c r="FY7" s="107"/>
      <c r="FZ7" s="107"/>
      <c r="GA7" s="107"/>
      <c r="GB7" s="107"/>
      <c r="GC7" s="107"/>
      <c r="GD7" s="107"/>
      <c r="GE7" s="107"/>
      <c r="GF7" s="107"/>
      <c r="GG7" s="107"/>
      <c r="GH7" s="107"/>
      <c r="GI7" s="107"/>
      <c r="GJ7" s="107"/>
      <c r="GK7" s="107"/>
      <c r="GL7" s="107"/>
      <c r="GM7" s="107"/>
      <c r="GN7" s="107"/>
      <c r="GO7" s="107"/>
      <c r="GP7" s="107"/>
      <c r="GQ7" s="107"/>
      <c r="GR7" s="107"/>
      <c r="GS7" s="107"/>
      <c r="GT7" s="107"/>
      <c r="GU7" s="107"/>
      <c r="GV7" s="107"/>
      <c r="GW7" s="107"/>
      <c r="GX7" s="107"/>
      <c r="GY7" s="107"/>
      <c r="GZ7" s="107"/>
      <c r="HA7" s="107"/>
      <c r="HB7" s="107"/>
      <c r="HC7" s="107"/>
      <c r="HD7" s="107"/>
      <c r="HE7" s="107"/>
      <c r="HF7" s="107"/>
      <c r="HG7" s="107"/>
      <c r="HH7" s="107"/>
      <c r="HI7" s="107"/>
      <c r="HJ7" s="107"/>
      <c r="HK7" s="107"/>
      <c r="HL7" s="107"/>
      <c r="HM7" s="107"/>
      <c r="HN7" s="107"/>
      <c r="HO7" s="107"/>
      <c r="HP7" s="107"/>
      <c r="HQ7" s="107"/>
      <c r="HR7" s="107"/>
      <c r="HS7" s="107"/>
      <c r="HT7" s="107"/>
      <c r="HU7" s="107"/>
      <c r="HV7" s="107"/>
      <c r="HW7" s="107"/>
      <c r="HX7" s="107"/>
      <c r="HY7" s="107"/>
      <c r="HZ7" s="107"/>
      <c r="IA7" s="107"/>
      <c r="IB7" s="107"/>
      <c r="IC7" s="107"/>
      <c r="ID7" s="107"/>
      <c r="IE7" s="107"/>
      <c r="IF7" s="107"/>
      <c r="IG7" s="107"/>
      <c r="IH7" s="107"/>
      <c r="II7" s="107"/>
      <c r="IJ7" s="107"/>
      <c r="IK7" s="107"/>
      <c r="IL7" s="107"/>
      <c r="IM7" s="107"/>
      <c r="IN7" s="107"/>
      <c r="IO7" s="107"/>
      <c r="IP7" s="107"/>
      <c r="IQ7" s="107"/>
      <c r="IR7" s="107"/>
      <c r="IS7" s="107"/>
      <c r="IT7" s="107"/>
      <c r="IU7" s="107"/>
      <c r="IV7" s="107"/>
    </row>
    <row r="8" spans="1:256" ht="18.75" x14ac:dyDescent="0.25">
      <c r="A8" s="107"/>
      <c r="B8" s="107"/>
      <c r="C8" s="107"/>
      <c r="D8" s="107"/>
      <c r="E8" s="141"/>
      <c r="F8" s="141"/>
      <c r="G8" s="141"/>
      <c r="H8" s="141"/>
      <c r="I8" s="141"/>
      <c r="J8" s="141"/>
      <c r="K8" s="141"/>
      <c r="L8" s="141"/>
      <c r="M8" s="141"/>
      <c r="N8" s="141"/>
      <c r="O8" s="141"/>
      <c r="P8" s="141"/>
      <c r="Q8" s="141"/>
      <c r="R8" s="141"/>
      <c r="S8" s="109"/>
      <c r="T8" s="109"/>
      <c r="U8" s="109"/>
      <c r="V8" s="109"/>
      <c r="W8" s="109"/>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07"/>
      <c r="BP8" s="107"/>
      <c r="BQ8" s="107"/>
      <c r="BR8" s="107"/>
      <c r="BS8" s="107"/>
      <c r="BT8" s="107"/>
      <c r="BU8" s="107"/>
      <c r="BV8" s="107"/>
      <c r="BW8" s="107"/>
      <c r="BX8" s="107"/>
      <c r="BY8" s="107"/>
      <c r="BZ8" s="107"/>
      <c r="CA8" s="107"/>
      <c r="CB8" s="107"/>
      <c r="CC8" s="107"/>
      <c r="CD8" s="107"/>
      <c r="CE8" s="107"/>
      <c r="CF8" s="107"/>
      <c r="CG8" s="107"/>
      <c r="CH8" s="107"/>
      <c r="CI8" s="107"/>
      <c r="CJ8" s="107"/>
      <c r="CK8" s="107"/>
      <c r="CL8" s="107"/>
      <c r="CM8" s="107"/>
      <c r="CN8" s="107"/>
      <c r="CO8" s="107"/>
      <c r="CP8" s="107"/>
      <c r="CQ8" s="107"/>
      <c r="CR8" s="107"/>
      <c r="CS8" s="107"/>
      <c r="CT8" s="107"/>
      <c r="CU8" s="107"/>
      <c r="CV8" s="107"/>
      <c r="CW8" s="107"/>
      <c r="CX8" s="107"/>
      <c r="CY8" s="107"/>
      <c r="CZ8" s="107"/>
      <c r="DA8" s="107"/>
      <c r="DB8" s="107"/>
      <c r="DC8" s="107"/>
      <c r="DD8" s="107"/>
      <c r="DE8" s="107"/>
      <c r="DF8" s="107"/>
      <c r="DG8" s="107"/>
      <c r="DH8" s="107"/>
      <c r="DI8" s="107"/>
      <c r="DJ8" s="107"/>
      <c r="DK8" s="107"/>
      <c r="DL8" s="107"/>
      <c r="DM8" s="107"/>
      <c r="DN8" s="107"/>
      <c r="DO8" s="107"/>
      <c r="DP8" s="107"/>
      <c r="DQ8" s="107"/>
      <c r="DR8" s="107"/>
      <c r="DS8" s="107"/>
      <c r="DT8" s="107"/>
      <c r="DU8" s="107"/>
      <c r="DV8" s="107"/>
      <c r="DW8" s="107"/>
      <c r="DX8" s="107"/>
      <c r="DY8" s="107"/>
      <c r="DZ8" s="107"/>
      <c r="EA8" s="107"/>
      <c r="EB8" s="107"/>
      <c r="EC8" s="107"/>
      <c r="ED8" s="107"/>
      <c r="EE8" s="107"/>
      <c r="EF8" s="107"/>
      <c r="EG8" s="107"/>
      <c r="EH8" s="107"/>
      <c r="EI8" s="107"/>
      <c r="EJ8" s="107"/>
      <c r="EK8" s="107"/>
      <c r="EL8" s="107"/>
      <c r="EM8" s="107"/>
      <c r="EN8" s="107"/>
      <c r="EO8" s="107"/>
      <c r="EP8" s="107"/>
      <c r="EQ8" s="107"/>
      <c r="ER8" s="107"/>
      <c r="ES8" s="107"/>
      <c r="ET8" s="107"/>
      <c r="EU8" s="107"/>
      <c r="EV8" s="107"/>
      <c r="EW8" s="107"/>
      <c r="EX8" s="107"/>
      <c r="EY8" s="107"/>
      <c r="EZ8" s="107"/>
      <c r="FA8" s="107"/>
      <c r="FB8" s="107"/>
      <c r="FC8" s="107"/>
      <c r="FD8" s="107"/>
      <c r="FE8" s="107"/>
      <c r="FF8" s="107"/>
      <c r="FG8" s="107"/>
      <c r="FH8" s="107"/>
      <c r="FI8" s="107"/>
      <c r="FJ8" s="107"/>
      <c r="FK8" s="107"/>
      <c r="FL8" s="107"/>
      <c r="FM8" s="107"/>
      <c r="FN8" s="107"/>
      <c r="FO8" s="107"/>
      <c r="FP8" s="107"/>
      <c r="FQ8" s="107"/>
      <c r="FR8" s="107"/>
      <c r="FS8" s="107"/>
      <c r="FT8" s="107"/>
      <c r="FU8" s="107"/>
      <c r="FV8" s="107"/>
      <c r="FW8" s="107"/>
      <c r="FX8" s="107"/>
      <c r="FY8" s="107"/>
      <c r="FZ8" s="107"/>
      <c r="GA8" s="107"/>
      <c r="GB8" s="107"/>
      <c r="GC8" s="107"/>
      <c r="GD8" s="107"/>
      <c r="GE8" s="107"/>
      <c r="GF8" s="107"/>
      <c r="GG8" s="107"/>
      <c r="GH8" s="107"/>
      <c r="GI8" s="107"/>
      <c r="GJ8" s="107"/>
      <c r="GK8" s="107"/>
      <c r="GL8" s="107"/>
      <c r="GM8" s="107"/>
      <c r="GN8" s="107"/>
      <c r="GO8" s="107"/>
      <c r="GP8" s="107"/>
      <c r="GQ8" s="107"/>
      <c r="GR8" s="107"/>
      <c r="GS8" s="107"/>
      <c r="GT8" s="107"/>
      <c r="GU8" s="107"/>
      <c r="GV8" s="107"/>
      <c r="GW8" s="107"/>
      <c r="GX8" s="107"/>
      <c r="GY8" s="107"/>
      <c r="GZ8" s="107"/>
      <c r="HA8" s="107"/>
      <c r="HB8" s="107"/>
      <c r="HC8" s="107"/>
      <c r="HD8" s="107"/>
      <c r="HE8" s="107"/>
      <c r="HF8" s="107"/>
      <c r="HG8" s="107"/>
      <c r="HH8" s="107"/>
      <c r="HI8" s="107"/>
      <c r="HJ8" s="107"/>
      <c r="HK8" s="107"/>
      <c r="HL8" s="107"/>
      <c r="HM8" s="107"/>
      <c r="HN8" s="107"/>
      <c r="HO8" s="107"/>
      <c r="HP8" s="107"/>
      <c r="HQ8" s="107"/>
      <c r="HR8" s="107"/>
      <c r="HS8" s="107"/>
      <c r="HT8" s="107"/>
      <c r="HU8" s="107"/>
      <c r="HV8" s="107"/>
      <c r="HW8" s="107"/>
      <c r="HX8" s="107"/>
      <c r="HY8" s="107"/>
      <c r="HZ8" s="107"/>
      <c r="IA8" s="107"/>
      <c r="IB8" s="107"/>
      <c r="IC8" s="107"/>
      <c r="ID8" s="107"/>
      <c r="IE8" s="107"/>
      <c r="IF8" s="107"/>
      <c r="IG8" s="107"/>
      <c r="IH8" s="107"/>
      <c r="II8" s="107"/>
      <c r="IJ8" s="107"/>
      <c r="IK8" s="107"/>
      <c r="IL8" s="107"/>
      <c r="IM8" s="107"/>
      <c r="IN8" s="107"/>
      <c r="IO8" s="107"/>
      <c r="IP8" s="107"/>
      <c r="IQ8" s="107"/>
      <c r="IR8" s="107"/>
      <c r="IS8" s="107"/>
      <c r="IT8" s="107"/>
      <c r="IU8" s="107"/>
      <c r="IV8" s="107"/>
    </row>
    <row r="9" spans="1:256" x14ac:dyDescent="0.25">
      <c r="A9" s="107"/>
      <c r="B9" s="107"/>
      <c r="C9" s="107"/>
      <c r="D9" s="107"/>
      <c r="E9" s="249" t="s">
        <v>230</v>
      </c>
      <c r="F9" s="249"/>
      <c r="G9" s="249"/>
      <c r="H9" s="249"/>
      <c r="I9" s="249"/>
      <c r="J9" s="249"/>
      <c r="K9" s="249"/>
      <c r="L9" s="249"/>
      <c r="M9" s="249"/>
      <c r="N9" s="249"/>
      <c r="O9" s="249"/>
      <c r="P9" s="249"/>
      <c r="Q9" s="249"/>
      <c r="R9" s="249"/>
      <c r="S9" s="249"/>
      <c r="T9" s="249"/>
      <c r="U9" s="249"/>
      <c r="V9" s="249"/>
      <c r="W9" s="249"/>
      <c r="X9" s="249"/>
      <c r="Y9" s="249"/>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107"/>
      <c r="CH9" s="107"/>
      <c r="CI9" s="107"/>
      <c r="CJ9" s="107"/>
      <c r="CK9" s="107"/>
      <c r="CL9" s="107"/>
      <c r="CM9" s="107"/>
      <c r="CN9" s="107"/>
      <c r="CO9" s="107"/>
      <c r="CP9" s="107"/>
      <c r="CQ9" s="107"/>
      <c r="CR9" s="107"/>
      <c r="CS9" s="107"/>
      <c r="CT9" s="107"/>
      <c r="CU9" s="107"/>
      <c r="CV9" s="107"/>
      <c r="CW9" s="107"/>
      <c r="CX9" s="107"/>
      <c r="CY9" s="107"/>
      <c r="CZ9" s="107"/>
      <c r="DA9" s="107"/>
      <c r="DB9" s="107"/>
      <c r="DC9" s="107"/>
      <c r="DD9" s="107"/>
      <c r="DE9" s="107"/>
      <c r="DF9" s="107"/>
      <c r="DG9" s="107"/>
      <c r="DH9" s="107"/>
      <c r="DI9" s="107"/>
      <c r="DJ9" s="107"/>
      <c r="DK9" s="107"/>
      <c r="DL9" s="107"/>
      <c r="DM9" s="107"/>
      <c r="DN9" s="107"/>
      <c r="DO9" s="107"/>
      <c r="DP9" s="107"/>
      <c r="DQ9" s="107"/>
      <c r="DR9" s="107"/>
      <c r="DS9" s="107"/>
      <c r="DT9" s="107"/>
      <c r="DU9" s="107"/>
      <c r="DV9" s="107"/>
      <c r="DW9" s="107"/>
      <c r="DX9" s="107"/>
      <c r="DY9" s="107"/>
      <c r="DZ9" s="107"/>
      <c r="EA9" s="107"/>
      <c r="EB9" s="107"/>
      <c r="EC9" s="107"/>
      <c r="ED9" s="107"/>
      <c r="EE9" s="107"/>
      <c r="EF9" s="107"/>
      <c r="EG9" s="107"/>
      <c r="EH9" s="107"/>
      <c r="EI9" s="107"/>
      <c r="EJ9" s="107"/>
      <c r="EK9" s="107"/>
      <c r="EL9" s="107"/>
      <c r="EM9" s="107"/>
      <c r="EN9" s="107"/>
      <c r="EO9" s="107"/>
      <c r="EP9" s="107"/>
      <c r="EQ9" s="107"/>
      <c r="ER9" s="107"/>
      <c r="ES9" s="107"/>
      <c r="ET9" s="107"/>
      <c r="EU9" s="107"/>
      <c r="EV9" s="107"/>
      <c r="EW9" s="107"/>
      <c r="EX9" s="107"/>
      <c r="EY9" s="107"/>
      <c r="EZ9" s="107"/>
      <c r="FA9" s="107"/>
      <c r="FB9" s="107"/>
      <c r="FC9" s="107"/>
      <c r="FD9" s="107"/>
      <c r="FE9" s="107"/>
      <c r="FF9" s="107"/>
      <c r="FG9" s="107"/>
      <c r="FH9" s="107"/>
      <c r="FI9" s="107"/>
      <c r="FJ9" s="107"/>
      <c r="FK9" s="107"/>
      <c r="FL9" s="107"/>
      <c r="FM9" s="107"/>
      <c r="FN9" s="107"/>
      <c r="FO9" s="107"/>
      <c r="FP9" s="107"/>
      <c r="FQ9" s="107"/>
      <c r="FR9" s="107"/>
      <c r="FS9" s="107"/>
      <c r="FT9" s="107"/>
      <c r="FU9" s="107"/>
      <c r="FV9" s="107"/>
      <c r="FW9" s="107"/>
      <c r="FX9" s="107"/>
      <c r="FY9" s="107"/>
      <c r="FZ9" s="107"/>
      <c r="GA9" s="107"/>
      <c r="GB9" s="107"/>
      <c r="GC9" s="107"/>
      <c r="GD9" s="107"/>
      <c r="GE9" s="107"/>
      <c r="GF9" s="107"/>
      <c r="GG9" s="107"/>
      <c r="GH9" s="107"/>
      <c r="GI9" s="107"/>
      <c r="GJ9" s="107"/>
      <c r="GK9" s="107"/>
      <c r="GL9" s="107"/>
      <c r="GM9" s="107"/>
      <c r="GN9" s="107"/>
      <c r="GO9" s="107"/>
      <c r="GP9" s="107"/>
      <c r="GQ9" s="107"/>
      <c r="GR9" s="107"/>
      <c r="GS9" s="107"/>
      <c r="GT9" s="107"/>
      <c r="GU9" s="107"/>
      <c r="GV9" s="107"/>
      <c r="GW9" s="107"/>
      <c r="GX9" s="107"/>
      <c r="GY9" s="107"/>
      <c r="GZ9" s="107"/>
      <c r="HA9" s="107"/>
      <c r="HB9" s="107"/>
      <c r="HC9" s="107"/>
      <c r="HD9" s="107"/>
      <c r="HE9" s="107"/>
      <c r="HF9" s="107"/>
      <c r="HG9" s="107"/>
      <c r="HH9" s="107"/>
      <c r="HI9" s="107"/>
      <c r="HJ9" s="107"/>
      <c r="HK9" s="107"/>
      <c r="HL9" s="107"/>
      <c r="HM9" s="107"/>
      <c r="HN9" s="107"/>
      <c r="HO9" s="107"/>
      <c r="HP9" s="107"/>
      <c r="HQ9" s="107"/>
      <c r="HR9" s="107"/>
      <c r="HS9" s="107"/>
      <c r="HT9" s="107"/>
      <c r="HU9" s="107"/>
      <c r="HV9" s="107"/>
      <c r="HW9" s="107"/>
      <c r="HX9" s="107"/>
      <c r="HY9" s="107"/>
      <c r="HZ9" s="107"/>
      <c r="IA9" s="107"/>
      <c r="IB9" s="107"/>
      <c r="IC9" s="107"/>
      <c r="ID9" s="107"/>
      <c r="IE9" s="107"/>
      <c r="IF9" s="107"/>
      <c r="IG9" s="107"/>
      <c r="IH9" s="107"/>
      <c r="II9" s="107"/>
      <c r="IJ9" s="107"/>
      <c r="IK9" s="107"/>
      <c r="IL9" s="107"/>
      <c r="IM9" s="107"/>
      <c r="IN9" s="107"/>
      <c r="IO9" s="107"/>
      <c r="IP9" s="107"/>
      <c r="IQ9" s="107"/>
      <c r="IR9" s="107"/>
      <c r="IS9" s="107"/>
      <c r="IT9" s="107"/>
      <c r="IU9" s="107"/>
      <c r="IV9" s="107"/>
    </row>
    <row r="10" spans="1:256" x14ac:dyDescent="0.25">
      <c r="A10" s="107"/>
      <c r="B10" s="107"/>
      <c r="C10" s="107"/>
      <c r="D10" s="107"/>
      <c r="E10" s="250" t="s">
        <v>4</v>
      </c>
      <c r="F10" s="250"/>
      <c r="G10" s="250"/>
      <c r="H10" s="250"/>
      <c r="I10" s="250"/>
      <c r="J10" s="250"/>
      <c r="K10" s="250"/>
      <c r="L10" s="250"/>
      <c r="M10" s="250"/>
      <c r="N10" s="250"/>
      <c r="O10" s="250"/>
      <c r="P10" s="250"/>
      <c r="Q10" s="250"/>
      <c r="R10" s="250"/>
      <c r="S10" s="250"/>
      <c r="T10" s="250"/>
      <c r="U10" s="250"/>
      <c r="V10" s="250"/>
      <c r="W10" s="250"/>
      <c r="X10" s="250"/>
      <c r="Y10" s="250"/>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c r="BU10" s="107"/>
      <c r="BV10" s="107"/>
      <c r="BW10" s="107"/>
      <c r="BX10" s="107"/>
      <c r="BY10" s="107"/>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c r="CZ10" s="107"/>
      <c r="DA10" s="107"/>
      <c r="DB10" s="107"/>
      <c r="DC10" s="107"/>
      <c r="DD10" s="107"/>
      <c r="DE10" s="107"/>
      <c r="DF10" s="107"/>
      <c r="DG10" s="107"/>
      <c r="DH10" s="107"/>
      <c r="DI10" s="107"/>
      <c r="DJ10" s="107"/>
      <c r="DK10" s="107"/>
      <c r="DL10" s="107"/>
      <c r="DM10" s="107"/>
      <c r="DN10" s="107"/>
      <c r="DO10" s="107"/>
      <c r="DP10" s="107"/>
      <c r="DQ10" s="107"/>
      <c r="DR10" s="107"/>
      <c r="DS10" s="107"/>
      <c r="DT10" s="107"/>
      <c r="DU10" s="107"/>
      <c r="DV10" s="107"/>
      <c r="DW10" s="107"/>
      <c r="DX10" s="107"/>
      <c r="DY10" s="107"/>
      <c r="DZ10" s="107"/>
      <c r="EA10" s="107"/>
      <c r="EB10" s="107"/>
      <c r="EC10" s="107"/>
      <c r="ED10" s="107"/>
      <c r="EE10" s="107"/>
      <c r="EF10" s="107"/>
      <c r="EG10" s="107"/>
      <c r="EH10" s="107"/>
      <c r="EI10" s="107"/>
      <c r="EJ10" s="107"/>
      <c r="EK10" s="107"/>
      <c r="EL10" s="107"/>
      <c r="EM10" s="107"/>
      <c r="EN10" s="107"/>
      <c r="EO10" s="107"/>
      <c r="EP10" s="107"/>
      <c r="EQ10" s="107"/>
      <c r="ER10" s="107"/>
      <c r="ES10" s="107"/>
      <c r="ET10" s="107"/>
      <c r="EU10" s="107"/>
      <c r="EV10" s="107"/>
      <c r="EW10" s="107"/>
      <c r="EX10" s="107"/>
      <c r="EY10" s="107"/>
      <c r="EZ10" s="107"/>
      <c r="FA10" s="107"/>
      <c r="FB10" s="107"/>
      <c r="FC10" s="107"/>
      <c r="FD10" s="107"/>
      <c r="FE10" s="107"/>
      <c r="FF10" s="107"/>
      <c r="FG10" s="107"/>
      <c r="FH10" s="107"/>
      <c r="FI10" s="107"/>
      <c r="FJ10" s="107"/>
      <c r="FK10" s="107"/>
      <c r="FL10" s="107"/>
      <c r="FM10" s="107"/>
      <c r="FN10" s="107"/>
      <c r="FO10" s="107"/>
      <c r="FP10" s="107"/>
      <c r="FQ10" s="107"/>
      <c r="FR10" s="107"/>
      <c r="FS10" s="107"/>
      <c r="FT10" s="107"/>
      <c r="FU10" s="107"/>
      <c r="FV10" s="107"/>
      <c r="FW10" s="107"/>
      <c r="FX10" s="107"/>
      <c r="FY10" s="107"/>
      <c r="FZ10" s="107"/>
      <c r="GA10" s="107"/>
      <c r="GB10" s="107"/>
      <c r="GC10" s="107"/>
      <c r="GD10" s="107"/>
      <c r="GE10" s="107"/>
      <c r="GF10" s="107"/>
      <c r="GG10" s="107"/>
      <c r="GH10" s="107"/>
      <c r="GI10" s="107"/>
      <c r="GJ10" s="107"/>
      <c r="GK10" s="107"/>
      <c r="GL10" s="107"/>
      <c r="GM10" s="107"/>
      <c r="GN10" s="107"/>
      <c r="GO10" s="107"/>
      <c r="GP10" s="107"/>
      <c r="GQ10" s="107"/>
      <c r="GR10" s="107"/>
      <c r="GS10" s="107"/>
      <c r="GT10" s="107"/>
      <c r="GU10" s="107"/>
      <c r="GV10" s="107"/>
      <c r="GW10" s="107"/>
      <c r="GX10" s="107"/>
      <c r="GY10" s="107"/>
      <c r="GZ10" s="107"/>
      <c r="HA10" s="107"/>
      <c r="HB10" s="107"/>
      <c r="HC10" s="107"/>
      <c r="HD10" s="107"/>
      <c r="HE10" s="107"/>
      <c r="HF10" s="107"/>
      <c r="HG10" s="107"/>
      <c r="HH10" s="107"/>
      <c r="HI10" s="107"/>
      <c r="HJ10" s="107"/>
      <c r="HK10" s="107"/>
      <c r="HL10" s="107"/>
      <c r="HM10" s="107"/>
      <c r="HN10" s="107"/>
      <c r="HO10" s="107"/>
      <c r="HP10" s="107"/>
      <c r="HQ10" s="107"/>
      <c r="HR10" s="107"/>
      <c r="HS10" s="107"/>
      <c r="HT10" s="107"/>
      <c r="HU10" s="107"/>
      <c r="HV10" s="107"/>
      <c r="HW10" s="107"/>
      <c r="HX10" s="107"/>
      <c r="HY10" s="107"/>
      <c r="HZ10" s="107"/>
      <c r="IA10" s="107"/>
      <c r="IB10" s="107"/>
      <c r="IC10" s="107"/>
      <c r="ID10" s="107"/>
      <c r="IE10" s="107"/>
      <c r="IF10" s="107"/>
      <c r="IG10" s="107"/>
      <c r="IH10" s="107"/>
      <c r="II10" s="107"/>
      <c r="IJ10" s="107"/>
      <c r="IK10" s="107"/>
      <c r="IL10" s="107"/>
      <c r="IM10" s="107"/>
      <c r="IN10" s="107"/>
      <c r="IO10" s="107"/>
      <c r="IP10" s="107"/>
      <c r="IQ10" s="107"/>
      <c r="IR10" s="107"/>
      <c r="IS10" s="107"/>
      <c r="IT10" s="107"/>
      <c r="IU10" s="107"/>
      <c r="IV10" s="107"/>
    </row>
    <row r="11" spans="1:256" ht="18.75" x14ac:dyDescent="0.25">
      <c r="A11" s="107"/>
      <c r="B11" s="107"/>
      <c r="C11" s="107"/>
      <c r="D11" s="107"/>
      <c r="E11" s="141"/>
      <c r="F11" s="141"/>
      <c r="G11" s="141"/>
      <c r="H11" s="141"/>
      <c r="I11" s="141"/>
      <c r="J11" s="141"/>
      <c r="K11" s="141"/>
      <c r="L11" s="141"/>
      <c r="M11" s="141"/>
      <c r="N11" s="141"/>
      <c r="O11" s="141"/>
      <c r="P11" s="141"/>
      <c r="Q11" s="141"/>
      <c r="R11" s="141"/>
      <c r="S11" s="109"/>
      <c r="T11" s="109"/>
      <c r="U11" s="109"/>
      <c r="V11" s="109"/>
      <c r="W11" s="109"/>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c r="BK11" s="107"/>
      <c r="BL11" s="107"/>
      <c r="BM11" s="107"/>
      <c r="BN11" s="107"/>
      <c r="BO11" s="107"/>
      <c r="BP11" s="107"/>
      <c r="BQ11" s="107"/>
      <c r="BR11" s="107"/>
      <c r="BS11" s="107"/>
      <c r="BT11" s="107"/>
      <c r="BU11" s="107"/>
      <c r="BV11" s="107"/>
      <c r="BW11" s="107"/>
      <c r="BX11" s="107"/>
      <c r="BY11" s="107"/>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7"/>
      <c r="DY11" s="107"/>
      <c r="DZ11" s="107"/>
      <c r="EA11" s="107"/>
      <c r="EB11" s="107"/>
      <c r="EC11" s="107"/>
      <c r="ED11" s="107"/>
      <c r="EE11" s="107"/>
      <c r="EF11" s="107"/>
      <c r="EG11" s="107"/>
      <c r="EH11" s="107"/>
      <c r="EI11" s="107"/>
      <c r="EJ11" s="107"/>
      <c r="EK11" s="107"/>
      <c r="EL11" s="107"/>
      <c r="EM11" s="107"/>
      <c r="EN11" s="107"/>
      <c r="EO11" s="107"/>
      <c r="EP11" s="107"/>
      <c r="EQ11" s="107"/>
      <c r="ER11" s="107"/>
      <c r="ES11" s="107"/>
      <c r="ET11" s="107"/>
      <c r="EU11" s="107"/>
      <c r="EV11" s="107"/>
      <c r="EW11" s="107"/>
      <c r="EX11" s="107"/>
      <c r="EY11" s="107"/>
      <c r="EZ11" s="107"/>
      <c r="FA11" s="107"/>
      <c r="FB11" s="107"/>
      <c r="FC11" s="107"/>
      <c r="FD11" s="107"/>
      <c r="FE11" s="107"/>
      <c r="FF11" s="107"/>
      <c r="FG11" s="107"/>
      <c r="FH11" s="107"/>
      <c r="FI11" s="107"/>
      <c r="FJ11" s="107"/>
      <c r="FK11" s="107"/>
      <c r="FL11" s="107"/>
      <c r="FM11" s="107"/>
      <c r="FN11" s="107"/>
      <c r="FO11" s="107"/>
      <c r="FP11" s="107"/>
      <c r="FQ11" s="107"/>
      <c r="FR11" s="107"/>
      <c r="FS11" s="107"/>
      <c r="FT11" s="107"/>
      <c r="FU11" s="107"/>
      <c r="FV11" s="107"/>
      <c r="FW11" s="107"/>
      <c r="FX11" s="107"/>
      <c r="FY11" s="107"/>
      <c r="FZ11" s="107"/>
      <c r="GA11" s="107"/>
      <c r="GB11" s="107"/>
      <c r="GC11" s="107"/>
      <c r="GD11" s="107"/>
      <c r="GE11" s="107"/>
      <c r="GF11" s="107"/>
      <c r="GG11" s="107"/>
      <c r="GH11" s="107"/>
      <c r="GI11" s="107"/>
      <c r="GJ11" s="107"/>
      <c r="GK11" s="107"/>
      <c r="GL11" s="107"/>
      <c r="GM11" s="107"/>
      <c r="GN11" s="107"/>
      <c r="GO11" s="107"/>
      <c r="GP11" s="107"/>
      <c r="GQ11" s="107"/>
      <c r="GR11" s="107"/>
      <c r="GS11" s="107"/>
      <c r="GT11" s="107"/>
      <c r="GU11" s="107"/>
      <c r="GV11" s="107"/>
      <c r="GW11" s="107"/>
      <c r="GX11" s="107"/>
      <c r="GY11" s="107"/>
      <c r="GZ11" s="107"/>
      <c r="HA11" s="107"/>
      <c r="HB11" s="107"/>
      <c r="HC11" s="107"/>
      <c r="HD11" s="107"/>
      <c r="HE11" s="107"/>
      <c r="HF11" s="107"/>
      <c r="HG11" s="107"/>
      <c r="HH11" s="107"/>
      <c r="HI11" s="107"/>
      <c r="HJ11" s="107"/>
      <c r="HK11" s="107"/>
      <c r="HL11" s="107"/>
      <c r="HM11" s="107"/>
      <c r="HN11" s="107"/>
      <c r="HO11" s="107"/>
      <c r="HP11" s="107"/>
      <c r="HQ11" s="107"/>
      <c r="HR11" s="107"/>
      <c r="HS11" s="107"/>
      <c r="HT11" s="107"/>
      <c r="HU11" s="107"/>
      <c r="HV11" s="107"/>
      <c r="HW11" s="107"/>
      <c r="HX11" s="107"/>
      <c r="HY11" s="107"/>
      <c r="HZ11" s="107"/>
      <c r="IA11" s="107"/>
      <c r="IB11" s="107"/>
      <c r="IC11" s="107"/>
      <c r="ID11" s="107"/>
      <c r="IE11" s="107"/>
      <c r="IF11" s="107"/>
      <c r="IG11" s="107"/>
      <c r="IH11" s="107"/>
      <c r="II11" s="107"/>
      <c r="IJ11" s="107"/>
      <c r="IK11" s="107"/>
      <c r="IL11" s="107"/>
      <c r="IM11" s="107"/>
      <c r="IN11" s="107"/>
      <c r="IO11" s="107"/>
      <c r="IP11" s="107"/>
      <c r="IQ11" s="107"/>
      <c r="IR11" s="107"/>
      <c r="IS11" s="107"/>
      <c r="IT11" s="107"/>
      <c r="IU11" s="107"/>
      <c r="IV11" s="107"/>
    </row>
    <row r="12" spans="1:256" x14ac:dyDescent="0.25">
      <c r="A12" s="249" t="str">
        <f>'1. паспорт местоположение'!A12:C12</f>
        <v>L_Che442_21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107"/>
      <c r="BK12" s="107"/>
      <c r="BL12" s="107"/>
      <c r="BM12" s="107"/>
      <c r="BN12" s="107"/>
      <c r="BO12" s="107"/>
      <c r="BP12" s="107"/>
      <c r="BQ12" s="107"/>
      <c r="BR12" s="107"/>
      <c r="BS12" s="107"/>
      <c r="BT12" s="107"/>
      <c r="BU12" s="107"/>
      <c r="BV12" s="107"/>
      <c r="BW12" s="107"/>
      <c r="BX12" s="107"/>
      <c r="BY12" s="107"/>
      <c r="BZ12" s="107"/>
      <c r="CA12" s="107"/>
      <c r="CB12" s="107"/>
      <c r="CC12" s="107"/>
      <c r="CD12" s="107"/>
      <c r="CE12" s="107"/>
      <c r="CF12" s="107"/>
      <c r="CG12" s="107"/>
      <c r="CH12" s="107"/>
      <c r="CI12" s="107"/>
      <c r="CJ12" s="107"/>
      <c r="CK12" s="107"/>
      <c r="CL12" s="107"/>
      <c r="CM12" s="107"/>
      <c r="CN12" s="107"/>
      <c r="CO12" s="107"/>
      <c r="CP12" s="107"/>
      <c r="CQ12" s="107"/>
      <c r="CR12" s="107"/>
      <c r="CS12" s="107"/>
      <c r="CT12" s="107"/>
      <c r="CU12" s="107"/>
      <c r="CV12" s="107"/>
      <c r="CW12" s="107"/>
      <c r="CX12" s="107"/>
      <c r="CY12" s="107"/>
      <c r="CZ12" s="107"/>
      <c r="DA12" s="107"/>
      <c r="DB12" s="107"/>
      <c r="DC12" s="107"/>
      <c r="DD12" s="107"/>
      <c r="DE12" s="107"/>
      <c r="DF12" s="107"/>
      <c r="DG12" s="107"/>
      <c r="DH12" s="107"/>
      <c r="DI12" s="107"/>
      <c r="DJ12" s="107"/>
      <c r="DK12" s="107"/>
      <c r="DL12" s="107"/>
      <c r="DM12" s="107"/>
      <c r="DN12" s="107"/>
      <c r="DO12" s="107"/>
      <c r="DP12" s="107"/>
      <c r="DQ12" s="107"/>
      <c r="DR12" s="107"/>
      <c r="DS12" s="107"/>
      <c r="DT12" s="107"/>
      <c r="DU12" s="107"/>
      <c r="DV12" s="107"/>
      <c r="DW12" s="107"/>
      <c r="DX12" s="107"/>
      <c r="DY12" s="107"/>
      <c r="DZ12" s="107"/>
      <c r="EA12" s="107"/>
      <c r="EB12" s="107"/>
      <c r="EC12" s="107"/>
      <c r="ED12" s="107"/>
      <c r="EE12" s="107"/>
      <c r="EF12" s="107"/>
      <c r="EG12" s="107"/>
      <c r="EH12" s="107"/>
      <c r="EI12" s="107"/>
      <c r="EJ12" s="107"/>
      <c r="EK12" s="107"/>
      <c r="EL12" s="107"/>
      <c r="EM12" s="107"/>
      <c r="EN12" s="107"/>
      <c r="EO12" s="107"/>
      <c r="EP12" s="107"/>
      <c r="EQ12" s="107"/>
      <c r="ER12" s="107"/>
      <c r="ES12" s="107"/>
      <c r="ET12" s="107"/>
      <c r="EU12" s="107"/>
      <c r="EV12" s="107"/>
      <c r="EW12" s="107"/>
      <c r="EX12" s="107"/>
      <c r="EY12" s="107"/>
      <c r="EZ12" s="107"/>
      <c r="FA12" s="107"/>
      <c r="FB12" s="107"/>
      <c r="FC12" s="107"/>
      <c r="FD12" s="107"/>
      <c r="FE12" s="107"/>
      <c r="FF12" s="107"/>
      <c r="FG12" s="107"/>
      <c r="FH12" s="107"/>
      <c r="FI12" s="107"/>
      <c r="FJ12" s="107"/>
      <c r="FK12" s="107"/>
      <c r="FL12" s="107"/>
      <c r="FM12" s="107"/>
      <c r="FN12" s="107"/>
      <c r="FO12" s="107"/>
      <c r="FP12" s="107"/>
      <c r="FQ12" s="107"/>
      <c r="FR12" s="107"/>
      <c r="FS12" s="107"/>
      <c r="FT12" s="107"/>
      <c r="FU12" s="107"/>
      <c r="FV12" s="107"/>
      <c r="FW12" s="107"/>
      <c r="FX12" s="107"/>
      <c r="FY12" s="107"/>
      <c r="FZ12" s="107"/>
      <c r="GA12" s="107"/>
      <c r="GB12" s="107"/>
      <c r="GC12" s="107"/>
      <c r="GD12" s="107"/>
      <c r="GE12" s="107"/>
      <c r="GF12" s="107"/>
      <c r="GG12" s="107"/>
      <c r="GH12" s="107"/>
      <c r="GI12" s="107"/>
      <c r="GJ12" s="107"/>
      <c r="GK12" s="107"/>
      <c r="GL12" s="107"/>
      <c r="GM12" s="107"/>
      <c r="GN12" s="107"/>
      <c r="GO12" s="107"/>
      <c r="GP12" s="107"/>
      <c r="GQ12" s="107"/>
      <c r="GR12" s="107"/>
      <c r="GS12" s="107"/>
      <c r="GT12" s="107"/>
      <c r="GU12" s="107"/>
      <c r="GV12" s="107"/>
      <c r="GW12" s="107"/>
      <c r="GX12" s="107"/>
      <c r="GY12" s="107"/>
      <c r="GZ12" s="107"/>
      <c r="HA12" s="107"/>
      <c r="HB12" s="107"/>
      <c r="HC12" s="107"/>
      <c r="HD12" s="107"/>
      <c r="HE12" s="107"/>
      <c r="HF12" s="107"/>
      <c r="HG12" s="107"/>
      <c r="HH12" s="107"/>
      <c r="HI12" s="107"/>
      <c r="HJ12" s="107"/>
      <c r="HK12" s="107"/>
      <c r="HL12" s="107"/>
      <c r="HM12" s="107"/>
      <c r="HN12" s="107"/>
      <c r="HO12" s="107"/>
      <c r="HP12" s="107"/>
      <c r="HQ12" s="107"/>
      <c r="HR12" s="107"/>
      <c r="HS12" s="107"/>
      <c r="HT12" s="107"/>
      <c r="HU12" s="107"/>
      <c r="HV12" s="107"/>
      <c r="HW12" s="107"/>
      <c r="HX12" s="107"/>
      <c r="HY12" s="107"/>
      <c r="HZ12" s="107"/>
      <c r="IA12" s="107"/>
      <c r="IB12" s="107"/>
      <c r="IC12" s="107"/>
      <c r="ID12" s="107"/>
      <c r="IE12" s="107"/>
      <c r="IF12" s="107"/>
      <c r="IG12" s="107"/>
      <c r="IH12" s="107"/>
      <c r="II12" s="107"/>
      <c r="IJ12" s="107"/>
      <c r="IK12" s="107"/>
      <c r="IL12" s="107"/>
      <c r="IM12" s="107"/>
      <c r="IN12" s="107"/>
      <c r="IO12" s="107"/>
      <c r="IP12" s="107"/>
      <c r="IQ12" s="107"/>
      <c r="IR12" s="107"/>
      <c r="IS12" s="107"/>
      <c r="IT12" s="107"/>
      <c r="IU12" s="107"/>
      <c r="IV12" s="107"/>
    </row>
    <row r="13" spans="1:256" x14ac:dyDescent="0.25">
      <c r="A13" s="107"/>
      <c r="B13" s="107"/>
      <c r="C13" s="107"/>
      <c r="D13" s="107"/>
      <c r="E13" s="250" t="s">
        <v>3</v>
      </c>
      <c r="F13" s="250"/>
      <c r="G13" s="250"/>
      <c r="H13" s="250"/>
      <c r="I13" s="250"/>
      <c r="J13" s="250"/>
      <c r="K13" s="250"/>
      <c r="L13" s="250"/>
      <c r="M13" s="250"/>
      <c r="N13" s="250"/>
      <c r="O13" s="250"/>
      <c r="P13" s="250"/>
      <c r="Q13" s="250"/>
      <c r="R13" s="250"/>
      <c r="S13" s="250"/>
      <c r="T13" s="250"/>
      <c r="U13" s="250"/>
      <c r="V13" s="250"/>
      <c r="W13" s="250"/>
      <c r="X13" s="250"/>
      <c r="Y13" s="250"/>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c r="BX13" s="107"/>
      <c r="BY13" s="107"/>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c r="CZ13" s="107"/>
      <c r="DA13" s="107"/>
      <c r="DB13" s="107"/>
      <c r="DC13" s="107"/>
      <c r="DD13" s="107"/>
      <c r="DE13" s="107"/>
      <c r="DF13" s="107"/>
      <c r="DG13" s="107"/>
      <c r="DH13" s="107"/>
      <c r="DI13" s="107"/>
      <c r="DJ13" s="107"/>
      <c r="DK13" s="107"/>
      <c r="DL13" s="107"/>
      <c r="DM13" s="107"/>
      <c r="DN13" s="107"/>
      <c r="DO13" s="107"/>
      <c r="DP13" s="107"/>
      <c r="DQ13" s="107"/>
      <c r="DR13" s="107"/>
      <c r="DS13" s="107"/>
      <c r="DT13" s="107"/>
      <c r="DU13" s="107"/>
      <c r="DV13" s="107"/>
      <c r="DW13" s="107"/>
      <c r="DX13" s="107"/>
      <c r="DY13" s="107"/>
      <c r="DZ13" s="107"/>
      <c r="EA13" s="107"/>
      <c r="EB13" s="107"/>
      <c r="EC13" s="107"/>
      <c r="ED13" s="107"/>
      <c r="EE13" s="107"/>
      <c r="EF13" s="107"/>
      <c r="EG13" s="107"/>
      <c r="EH13" s="107"/>
      <c r="EI13" s="107"/>
      <c r="EJ13" s="107"/>
      <c r="EK13" s="107"/>
      <c r="EL13" s="107"/>
      <c r="EM13" s="107"/>
      <c r="EN13" s="107"/>
      <c r="EO13" s="107"/>
      <c r="EP13" s="107"/>
      <c r="EQ13" s="107"/>
      <c r="ER13" s="107"/>
      <c r="ES13" s="107"/>
      <c r="ET13" s="107"/>
      <c r="EU13" s="107"/>
      <c r="EV13" s="107"/>
      <c r="EW13" s="107"/>
      <c r="EX13" s="107"/>
      <c r="EY13" s="107"/>
      <c r="EZ13" s="107"/>
      <c r="FA13" s="107"/>
      <c r="FB13" s="107"/>
      <c r="FC13" s="107"/>
      <c r="FD13" s="107"/>
      <c r="FE13" s="107"/>
      <c r="FF13" s="107"/>
      <c r="FG13" s="107"/>
      <c r="FH13" s="107"/>
      <c r="FI13" s="107"/>
      <c r="FJ13" s="107"/>
      <c r="FK13" s="107"/>
      <c r="FL13" s="107"/>
      <c r="FM13" s="107"/>
      <c r="FN13" s="107"/>
      <c r="FO13" s="107"/>
      <c r="FP13" s="107"/>
      <c r="FQ13" s="107"/>
      <c r="FR13" s="107"/>
      <c r="FS13" s="107"/>
      <c r="FT13" s="107"/>
      <c r="FU13" s="107"/>
      <c r="FV13" s="107"/>
      <c r="FW13" s="107"/>
      <c r="FX13" s="107"/>
      <c r="FY13" s="107"/>
      <c r="FZ13" s="107"/>
      <c r="GA13" s="107"/>
      <c r="GB13" s="107"/>
      <c r="GC13" s="107"/>
      <c r="GD13" s="107"/>
      <c r="GE13" s="107"/>
      <c r="GF13" s="107"/>
      <c r="GG13" s="107"/>
      <c r="GH13" s="107"/>
      <c r="GI13" s="107"/>
      <c r="GJ13" s="107"/>
      <c r="GK13" s="107"/>
      <c r="GL13" s="107"/>
      <c r="GM13" s="107"/>
      <c r="GN13" s="107"/>
      <c r="GO13" s="107"/>
      <c r="GP13" s="107"/>
      <c r="GQ13" s="107"/>
      <c r="GR13" s="107"/>
      <c r="GS13" s="107"/>
      <c r="GT13" s="107"/>
      <c r="GU13" s="107"/>
      <c r="GV13" s="107"/>
      <c r="GW13" s="107"/>
      <c r="GX13" s="107"/>
      <c r="GY13" s="107"/>
      <c r="GZ13" s="107"/>
      <c r="HA13" s="107"/>
      <c r="HB13" s="107"/>
      <c r="HC13" s="107"/>
      <c r="HD13" s="107"/>
      <c r="HE13" s="107"/>
      <c r="HF13" s="107"/>
      <c r="HG13" s="107"/>
      <c r="HH13" s="107"/>
      <c r="HI13" s="107"/>
      <c r="HJ13" s="107"/>
      <c r="HK13" s="107"/>
      <c r="HL13" s="107"/>
      <c r="HM13" s="107"/>
      <c r="HN13" s="107"/>
      <c r="HO13" s="107"/>
      <c r="HP13" s="107"/>
      <c r="HQ13" s="107"/>
      <c r="HR13" s="107"/>
      <c r="HS13" s="107"/>
      <c r="HT13" s="107"/>
      <c r="HU13" s="107"/>
      <c r="HV13" s="107"/>
      <c r="HW13" s="107"/>
      <c r="HX13" s="107"/>
      <c r="HY13" s="107"/>
      <c r="HZ13" s="107"/>
      <c r="IA13" s="107"/>
      <c r="IB13" s="107"/>
      <c r="IC13" s="107"/>
      <c r="ID13" s="107"/>
      <c r="IE13" s="107"/>
      <c r="IF13" s="107"/>
      <c r="IG13" s="107"/>
      <c r="IH13" s="107"/>
      <c r="II13" s="107"/>
      <c r="IJ13" s="107"/>
      <c r="IK13" s="107"/>
      <c r="IL13" s="107"/>
      <c r="IM13" s="107"/>
      <c r="IN13" s="107"/>
      <c r="IO13" s="107"/>
      <c r="IP13" s="107"/>
      <c r="IQ13" s="107"/>
      <c r="IR13" s="107"/>
      <c r="IS13" s="107"/>
      <c r="IT13" s="107"/>
      <c r="IU13" s="107"/>
      <c r="IV13" s="107"/>
    </row>
    <row r="14" spans="1:256" ht="18.75" x14ac:dyDescent="0.25">
      <c r="A14" s="111"/>
      <c r="B14" s="111"/>
      <c r="C14" s="111"/>
      <c r="D14" s="111"/>
      <c r="E14" s="110"/>
      <c r="F14" s="110"/>
      <c r="G14" s="110"/>
      <c r="H14" s="110"/>
      <c r="I14" s="110"/>
      <c r="J14" s="110"/>
      <c r="K14" s="110"/>
      <c r="L14" s="110"/>
      <c r="M14" s="110"/>
      <c r="N14" s="110"/>
      <c r="O14" s="110"/>
      <c r="P14" s="110"/>
      <c r="Q14" s="110"/>
      <c r="R14" s="110"/>
      <c r="S14" s="110"/>
      <c r="T14" s="110"/>
      <c r="U14" s="110"/>
      <c r="V14" s="110"/>
      <c r="W14" s="110"/>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row>
    <row r="15" spans="1:256" x14ac:dyDescent="0.25">
      <c r="A15" s="249" t="str">
        <f>'1. паспорт местоположение'!A15:C15</f>
        <v>Приобретение оборудования в рамках Программы подготовки к ОЗП 2020/2021 гг.</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113"/>
      <c r="IG15" s="113"/>
      <c r="IH15" s="113"/>
      <c r="II15" s="113"/>
      <c r="IJ15" s="113"/>
      <c r="IK15" s="113"/>
      <c r="IL15" s="113"/>
      <c r="IM15" s="113"/>
      <c r="IN15" s="113"/>
      <c r="IO15" s="113"/>
      <c r="IP15" s="113"/>
      <c r="IQ15" s="113"/>
      <c r="IR15" s="113"/>
      <c r="IS15" s="113"/>
      <c r="IT15" s="113"/>
      <c r="IU15" s="113"/>
      <c r="IV15" s="113"/>
    </row>
    <row r="16" spans="1:256" x14ac:dyDescent="0.25">
      <c r="A16" s="113"/>
      <c r="B16" s="113"/>
      <c r="C16" s="113"/>
      <c r="D16" s="113"/>
      <c r="E16" s="250" t="s">
        <v>2</v>
      </c>
      <c r="F16" s="250"/>
      <c r="G16" s="250"/>
      <c r="H16" s="250"/>
      <c r="I16" s="250"/>
      <c r="J16" s="250"/>
      <c r="K16" s="250"/>
      <c r="L16" s="250"/>
      <c r="M16" s="250"/>
      <c r="N16" s="250"/>
      <c r="O16" s="250"/>
      <c r="P16" s="250"/>
      <c r="Q16" s="250"/>
      <c r="R16" s="250"/>
      <c r="S16" s="250"/>
      <c r="T16" s="250"/>
      <c r="U16" s="250"/>
      <c r="V16" s="250"/>
      <c r="W16" s="250"/>
      <c r="X16" s="250"/>
      <c r="Y16" s="250"/>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c r="EZ16" s="113"/>
      <c r="FA16" s="113"/>
      <c r="FB16" s="113"/>
      <c r="FC16" s="113"/>
      <c r="FD16" s="113"/>
      <c r="FE16" s="113"/>
      <c r="FF16" s="113"/>
      <c r="FG16" s="113"/>
      <c r="FH16" s="113"/>
      <c r="FI16" s="113"/>
      <c r="FJ16" s="113"/>
      <c r="FK16" s="113"/>
      <c r="FL16" s="113"/>
      <c r="FM16" s="113"/>
      <c r="FN16" s="113"/>
      <c r="FO16" s="113"/>
      <c r="FP16" s="113"/>
      <c r="FQ16" s="113"/>
      <c r="FR16" s="113"/>
      <c r="FS16" s="113"/>
      <c r="FT16" s="113"/>
      <c r="FU16" s="113"/>
      <c r="FV16" s="113"/>
      <c r="FW16" s="113"/>
      <c r="FX16" s="113"/>
      <c r="FY16" s="113"/>
      <c r="FZ16" s="113"/>
      <c r="GA16" s="113"/>
      <c r="GB16" s="113"/>
      <c r="GC16" s="113"/>
      <c r="GD16" s="113"/>
      <c r="GE16" s="113"/>
      <c r="GF16" s="113"/>
      <c r="GG16" s="113"/>
      <c r="GH16" s="113"/>
      <c r="GI16" s="113"/>
      <c r="GJ16" s="113"/>
      <c r="GK16" s="113"/>
      <c r="GL16" s="113"/>
      <c r="GM16" s="113"/>
      <c r="GN16" s="113"/>
      <c r="GO16" s="113"/>
      <c r="GP16" s="113"/>
      <c r="GQ16" s="113"/>
      <c r="GR16" s="113"/>
      <c r="GS16" s="113"/>
      <c r="GT16" s="113"/>
      <c r="GU16" s="113"/>
      <c r="GV16" s="113"/>
      <c r="GW16" s="113"/>
      <c r="GX16" s="113"/>
      <c r="GY16" s="113"/>
      <c r="GZ16" s="113"/>
      <c r="HA16" s="113"/>
      <c r="HB16" s="113"/>
      <c r="HC16" s="113"/>
      <c r="HD16" s="113"/>
      <c r="HE16" s="113"/>
      <c r="HF16" s="113"/>
      <c r="HG16" s="113"/>
      <c r="HH16" s="113"/>
      <c r="HI16" s="113"/>
      <c r="HJ16" s="113"/>
      <c r="HK16" s="113"/>
      <c r="HL16" s="113"/>
      <c r="HM16" s="113"/>
      <c r="HN16" s="113"/>
      <c r="HO16" s="113"/>
      <c r="HP16" s="113"/>
      <c r="HQ16" s="113"/>
      <c r="HR16" s="113"/>
      <c r="HS16" s="113"/>
      <c r="HT16" s="113"/>
      <c r="HU16" s="113"/>
      <c r="HV16" s="113"/>
      <c r="HW16" s="113"/>
      <c r="HX16" s="113"/>
      <c r="HY16" s="113"/>
      <c r="HZ16" s="113"/>
      <c r="IA16" s="113"/>
      <c r="IB16" s="113"/>
      <c r="IC16" s="113"/>
      <c r="ID16" s="113"/>
      <c r="IE16" s="113"/>
      <c r="IF16" s="113"/>
      <c r="IG16" s="113"/>
      <c r="IH16" s="113"/>
      <c r="II16" s="113"/>
      <c r="IJ16" s="113"/>
      <c r="IK16" s="113"/>
      <c r="IL16" s="113"/>
      <c r="IM16" s="113"/>
      <c r="IN16" s="113"/>
      <c r="IO16" s="113"/>
      <c r="IP16" s="113"/>
      <c r="IQ16" s="113"/>
      <c r="IR16" s="113"/>
      <c r="IS16" s="113"/>
      <c r="IT16" s="113"/>
      <c r="IU16" s="113"/>
      <c r="IV16" s="113"/>
    </row>
    <row r="17" spans="1:256" ht="18.75" x14ac:dyDescent="0.25">
      <c r="A17" s="113"/>
      <c r="B17" s="113"/>
      <c r="C17" s="113"/>
      <c r="D17" s="113"/>
      <c r="E17" s="115"/>
      <c r="F17" s="115"/>
      <c r="G17" s="115"/>
      <c r="H17" s="115"/>
      <c r="I17" s="115"/>
      <c r="J17" s="115"/>
      <c r="K17" s="115"/>
      <c r="L17" s="115"/>
      <c r="M17" s="115"/>
      <c r="N17" s="115"/>
      <c r="O17" s="115"/>
      <c r="P17" s="115"/>
      <c r="Q17" s="115"/>
      <c r="R17" s="115"/>
      <c r="S17" s="115"/>
      <c r="T17" s="115"/>
      <c r="U17" s="115"/>
      <c r="V17" s="115"/>
      <c r="W17" s="115"/>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113"/>
      <c r="ED17" s="113"/>
      <c r="EE17" s="113"/>
      <c r="EF17" s="113"/>
      <c r="EG17" s="113"/>
      <c r="EH17" s="113"/>
      <c r="EI17" s="113"/>
      <c r="EJ17" s="113"/>
      <c r="EK17" s="113"/>
      <c r="EL17" s="113"/>
      <c r="EM17" s="113"/>
      <c r="EN17" s="113"/>
      <c r="EO17" s="113"/>
      <c r="EP17" s="113"/>
      <c r="EQ17" s="113"/>
      <c r="ER17" s="113"/>
      <c r="ES17" s="113"/>
      <c r="ET17" s="113"/>
      <c r="EU17" s="113"/>
      <c r="EV17" s="113"/>
      <c r="EW17" s="113"/>
      <c r="EX17" s="113"/>
      <c r="EY17" s="113"/>
      <c r="EZ17" s="113"/>
      <c r="FA17" s="113"/>
      <c r="FB17" s="113"/>
      <c r="FC17" s="113"/>
      <c r="FD17" s="113"/>
      <c r="FE17" s="113"/>
      <c r="FF17" s="113"/>
      <c r="FG17" s="113"/>
      <c r="FH17" s="113"/>
      <c r="FI17" s="113"/>
      <c r="FJ17" s="113"/>
      <c r="FK17" s="113"/>
      <c r="FL17" s="113"/>
      <c r="FM17" s="113"/>
      <c r="FN17" s="113"/>
      <c r="FO17" s="113"/>
      <c r="FP17" s="113"/>
      <c r="FQ17" s="113"/>
      <c r="FR17" s="113"/>
      <c r="FS17" s="113"/>
      <c r="FT17" s="113"/>
      <c r="FU17" s="113"/>
      <c r="FV17" s="113"/>
      <c r="FW17" s="113"/>
      <c r="FX17" s="113"/>
      <c r="FY17" s="113"/>
      <c r="FZ17" s="113"/>
      <c r="GA17" s="113"/>
      <c r="GB17" s="113"/>
      <c r="GC17" s="113"/>
      <c r="GD17" s="113"/>
      <c r="GE17" s="113"/>
      <c r="GF17" s="113"/>
      <c r="GG17" s="113"/>
      <c r="GH17" s="113"/>
      <c r="GI17" s="113"/>
      <c r="GJ17" s="113"/>
      <c r="GK17" s="113"/>
      <c r="GL17" s="113"/>
      <c r="GM17" s="113"/>
      <c r="GN17" s="113"/>
      <c r="GO17" s="113"/>
      <c r="GP17" s="113"/>
      <c r="GQ17" s="113"/>
      <c r="GR17" s="113"/>
      <c r="GS17" s="113"/>
      <c r="GT17" s="113"/>
      <c r="GU17" s="113"/>
      <c r="GV17" s="113"/>
      <c r="GW17" s="113"/>
      <c r="GX17" s="113"/>
      <c r="GY17" s="113"/>
      <c r="GZ17" s="113"/>
      <c r="HA17" s="113"/>
      <c r="HB17" s="113"/>
      <c r="HC17" s="113"/>
      <c r="HD17" s="113"/>
      <c r="HE17" s="113"/>
      <c r="HF17" s="113"/>
      <c r="HG17" s="113"/>
      <c r="HH17" s="113"/>
      <c r="HI17" s="113"/>
      <c r="HJ17" s="113"/>
      <c r="HK17" s="113"/>
      <c r="HL17" s="113"/>
      <c r="HM17" s="113"/>
      <c r="HN17" s="113"/>
      <c r="HO17" s="113"/>
      <c r="HP17" s="113"/>
      <c r="HQ17" s="113"/>
      <c r="HR17" s="113"/>
      <c r="HS17" s="113"/>
      <c r="HT17" s="113"/>
      <c r="HU17" s="113"/>
      <c r="HV17" s="113"/>
      <c r="HW17" s="113"/>
      <c r="HX17" s="113"/>
      <c r="HY17" s="113"/>
      <c r="HZ17" s="113"/>
      <c r="IA17" s="113"/>
      <c r="IB17" s="113"/>
      <c r="IC17" s="113"/>
      <c r="ID17" s="113"/>
      <c r="IE17" s="113"/>
      <c r="IF17" s="113"/>
      <c r="IG17" s="113"/>
      <c r="IH17" s="113"/>
      <c r="II17" s="113"/>
      <c r="IJ17" s="113"/>
      <c r="IK17" s="113"/>
      <c r="IL17" s="113"/>
      <c r="IM17" s="113"/>
      <c r="IN17" s="113"/>
      <c r="IO17" s="113"/>
      <c r="IP17" s="113"/>
      <c r="IQ17" s="113"/>
      <c r="IR17" s="113"/>
      <c r="IS17" s="113"/>
      <c r="IT17" s="113"/>
      <c r="IU17" s="113"/>
      <c r="IV17" s="113"/>
    </row>
    <row r="18" spans="1:256" ht="18.75" x14ac:dyDescent="0.25">
      <c r="A18" s="117"/>
      <c r="B18" s="117"/>
      <c r="C18" s="117"/>
      <c r="D18" s="117"/>
      <c r="E18" s="281"/>
      <c r="F18" s="281"/>
      <c r="G18" s="281"/>
      <c r="H18" s="281"/>
      <c r="I18" s="281"/>
      <c r="J18" s="281"/>
      <c r="K18" s="281"/>
      <c r="L18" s="281"/>
      <c r="M18" s="281"/>
      <c r="N18" s="281"/>
      <c r="O18" s="281"/>
      <c r="P18" s="281"/>
      <c r="Q18" s="281"/>
      <c r="R18" s="281"/>
      <c r="S18" s="281"/>
      <c r="T18" s="281"/>
      <c r="U18" s="281"/>
      <c r="V18" s="281"/>
      <c r="W18" s="281"/>
      <c r="X18" s="281"/>
      <c r="Y18" s="281"/>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17"/>
      <c r="BH18" s="117"/>
      <c r="BI18" s="117"/>
      <c r="BJ18" s="117"/>
      <c r="BK18" s="117"/>
      <c r="BL18" s="117"/>
      <c r="BM18" s="117"/>
      <c r="BN18" s="117"/>
      <c r="BO18" s="117"/>
      <c r="BP18" s="117"/>
      <c r="BQ18" s="117"/>
      <c r="BR18" s="117"/>
      <c r="BS18" s="117"/>
      <c r="BT18" s="117"/>
      <c r="BU18" s="117"/>
      <c r="BV18" s="117"/>
      <c r="BW18" s="117"/>
      <c r="BX18" s="117"/>
      <c r="BY18" s="117"/>
      <c r="BZ18" s="117"/>
      <c r="CA18" s="117"/>
      <c r="CB18" s="117"/>
      <c r="CC18" s="117"/>
      <c r="CD18" s="117"/>
      <c r="CE18" s="117"/>
      <c r="CF18" s="117"/>
      <c r="CG18" s="117"/>
      <c r="CH18" s="117"/>
      <c r="CI18" s="117"/>
      <c r="CJ18" s="117"/>
      <c r="CK18" s="117"/>
      <c r="CL18" s="117"/>
      <c r="CM18" s="117"/>
      <c r="CN18" s="117"/>
      <c r="CO18" s="117"/>
      <c r="CP18" s="117"/>
      <c r="CQ18" s="117"/>
      <c r="CR18" s="117"/>
      <c r="CS18" s="117"/>
      <c r="CT18" s="117"/>
      <c r="CU18" s="117"/>
      <c r="CV18" s="117"/>
      <c r="CW18" s="117"/>
      <c r="CX18" s="117"/>
      <c r="CY18" s="117"/>
      <c r="CZ18" s="117"/>
      <c r="DA18" s="117"/>
      <c r="DB18" s="117"/>
      <c r="DC18" s="117"/>
      <c r="DD18" s="117"/>
      <c r="DE18" s="117"/>
      <c r="DF18" s="117"/>
      <c r="DG18" s="117"/>
      <c r="DH18" s="117"/>
      <c r="DI18" s="117"/>
      <c r="DJ18" s="117"/>
      <c r="DK18" s="117"/>
      <c r="DL18" s="117"/>
      <c r="DM18" s="117"/>
      <c r="DN18" s="117"/>
      <c r="DO18" s="117"/>
      <c r="DP18" s="117"/>
      <c r="DQ18" s="117"/>
      <c r="DR18" s="117"/>
      <c r="DS18" s="117"/>
      <c r="DT18" s="117"/>
      <c r="DU18" s="117"/>
      <c r="DV18" s="117"/>
      <c r="DW18" s="117"/>
      <c r="DX18" s="117"/>
      <c r="DY18" s="117"/>
      <c r="DZ18" s="117"/>
      <c r="EA18" s="117"/>
      <c r="EB18" s="117"/>
      <c r="EC18" s="117"/>
      <c r="ED18" s="117"/>
      <c r="EE18" s="117"/>
      <c r="EF18" s="117"/>
      <c r="EG18" s="117"/>
      <c r="EH18" s="117"/>
      <c r="EI18" s="117"/>
      <c r="EJ18" s="117"/>
      <c r="EK18" s="117"/>
      <c r="EL18" s="117"/>
      <c r="EM18" s="117"/>
      <c r="EN18" s="117"/>
      <c r="EO18" s="117"/>
      <c r="EP18" s="117"/>
      <c r="EQ18" s="117"/>
      <c r="ER18" s="117"/>
      <c r="ES18" s="117"/>
      <c r="ET18" s="117"/>
      <c r="EU18" s="117"/>
      <c r="EV18" s="117"/>
      <c r="EW18" s="117"/>
      <c r="EX18" s="117"/>
      <c r="EY18" s="117"/>
      <c r="EZ18" s="117"/>
      <c r="FA18" s="117"/>
      <c r="FB18" s="117"/>
      <c r="FC18" s="117"/>
      <c r="FD18" s="117"/>
      <c r="FE18" s="117"/>
      <c r="FF18" s="117"/>
      <c r="FG18" s="117"/>
      <c r="FH18" s="117"/>
      <c r="FI18" s="117"/>
      <c r="FJ18" s="117"/>
      <c r="FK18" s="117"/>
      <c r="FL18" s="117"/>
      <c r="FM18" s="117"/>
      <c r="FN18" s="117"/>
      <c r="FO18" s="117"/>
      <c r="FP18" s="117"/>
      <c r="FQ18" s="117"/>
      <c r="FR18" s="117"/>
      <c r="FS18" s="117"/>
      <c r="FT18" s="117"/>
      <c r="FU18" s="117"/>
      <c r="FV18" s="117"/>
      <c r="FW18" s="117"/>
      <c r="FX18" s="117"/>
      <c r="FY18" s="117"/>
      <c r="FZ18" s="117"/>
      <c r="GA18" s="117"/>
      <c r="GB18" s="117"/>
      <c r="GC18" s="117"/>
      <c r="GD18" s="117"/>
      <c r="GE18" s="117"/>
      <c r="GF18" s="117"/>
      <c r="GG18" s="117"/>
      <c r="GH18" s="117"/>
      <c r="GI18" s="117"/>
      <c r="GJ18" s="117"/>
      <c r="GK18" s="117"/>
      <c r="GL18" s="117"/>
      <c r="GM18" s="117"/>
      <c r="GN18" s="117"/>
      <c r="GO18" s="117"/>
      <c r="GP18" s="117"/>
      <c r="GQ18" s="117"/>
      <c r="GR18" s="117"/>
      <c r="GS18" s="117"/>
      <c r="GT18" s="117"/>
      <c r="GU18" s="117"/>
      <c r="GV18" s="117"/>
      <c r="GW18" s="117"/>
      <c r="GX18" s="117"/>
      <c r="GY18" s="117"/>
      <c r="GZ18" s="117"/>
      <c r="HA18" s="117"/>
      <c r="HB18" s="117"/>
      <c r="HC18" s="117"/>
      <c r="HD18" s="117"/>
      <c r="HE18" s="117"/>
      <c r="HF18" s="117"/>
      <c r="HG18" s="117"/>
      <c r="HH18" s="117"/>
      <c r="HI18" s="117"/>
      <c r="HJ18" s="117"/>
      <c r="HK18" s="117"/>
      <c r="HL18" s="117"/>
      <c r="HM18" s="117"/>
      <c r="HN18" s="117"/>
      <c r="HO18" s="117"/>
      <c r="HP18" s="117"/>
      <c r="HQ18" s="117"/>
      <c r="HR18" s="117"/>
      <c r="HS18" s="117"/>
      <c r="HT18" s="117"/>
      <c r="HU18" s="117"/>
      <c r="HV18" s="117"/>
      <c r="HW18" s="117"/>
      <c r="HX18" s="117"/>
      <c r="HY18" s="117"/>
      <c r="HZ18" s="117"/>
      <c r="IA18" s="117"/>
      <c r="IB18" s="117"/>
      <c r="IC18" s="117"/>
      <c r="ID18" s="117"/>
      <c r="IE18" s="117"/>
      <c r="IF18" s="117"/>
      <c r="IG18" s="117"/>
      <c r="IH18" s="117"/>
      <c r="II18" s="117"/>
      <c r="IJ18" s="117"/>
      <c r="IK18" s="117"/>
      <c r="IL18" s="117"/>
      <c r="IM18" s="117"/>
      <c r="IN18" s="117"/>
      <c r="IO18" s="117"/>
      <c r="IP18" s="117"/>
      <c r="IQ18" s="117"/>
      <c r="IR18" s="117"/>
      <c r="IS18" s="117"/>
      <c r="IT18" s="117"/>
      <c r="IU18" s="117"/>
      <c r="IV18" s="117"/>
    </row>
    <row r="19" spans="1:256" ht="18.75" x14ac:dyDescent="0.25">
      <c r="A19" s="281" t="s">
        <v>249</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56" x14ac:dyDescent="0.25">
      <c r="A20" s="142"/>
      <c r="B20" s="142"/>
      <c r="C20" s="142"/>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x14ac:dyDescent="0.25">
      <c r="A21" s="279" t="s">
        <v>1</v>
      </c>
      <c r="B21" s="283" t="s">
        <v>250</v>
      </c>
      <c r="C21" s="284"/>
      <c r="D21" s="283" t="s">
        <v>251</v>
      </c>
      <c r="E21" s="284"/>
      <c r="F21" s="287" t="s">
        <v>219</v>
      </c>
      <c r="G21" s="288"/>
      <c r="H21" s="288"/>
      <c r="I21" s="289"/>
      <c r="J21" s="279" t="s">
        <v>252</v>
      </c>
      <c r="K21" s="283" t="s">
        <v>253</v>
      </c>
      <c r="L21" s="284"/>
      <c r="M21" s="283" t="s">
        <v>254</v>
      </c>
      <c r="N21" s="284"/>
      <c r="O21" s="283" t="s">
        <v>255</v>
      </c>
      <c r="P21" s="284"/>
      <c r="Q21" s="283" t="s">
        <v>256</v>
      </c>
      <c r="R21" s="284"/>
      <c r="S21" s="279" t="s">
        <v>257</v>
      </c>
      <c r="T21" s="279" t="s">
        <v>258</v>
      </c>
      <c r="U21" s="279" t="s">
        <v>259</v>
      </c>
      <c r="V21" s="283" t="s">
        <v>260</v>
      </c>
      <c r="W21" s="284"/>
      <c r="X21" s="287" t="s">
        <v>241</v>
      </c>
      <c r="Y21" s="288"/>
      <c r="Z21" s="287" t="s">
        <v>242</v>
      </c>
      <c r="AA21" s="288"/>
    </row>
    <row r="22" spans="1:256" ht="267.75" x14ac:dyDescent="0.25">
      <c r="A22" s="282"/>
      <c r="B22" s="285"/>
      <c r="C22" s="286"/>
      <c r="D22" s="285"/>
      <c r="E22" s="286"/>
      <c r="F22" s="287" t="s">
        <v>261</v>
      </c>
      <c r="G22" s="289"/>
      <c r="H22" s="287" t="s">
        <v>262</v>
      </c>
      <c r="I22" s="289"/>
      <c r="J22" s="280"/>
      <c r="K22" s="285"/>
      <c r="L22" s="286"/>
      <c r="M22" s="285"/>
      <c r="N22" s="286"/>
      <c r="O22" s="285"/>
      <c r="P22" s="286"/>
      <c r="Q22" s="285"/>
      <c r="R22" s="286"/>
      <c r="S22" s="280"/>
      <c r="T22" s="280"/>
      <c r="U22" s="280"/>
      <c r="V22" s="285"/>
      <c r="W22" s="286"/>
      <c r="X22" s="144" t="s">
        <v>243</v>
      </c>
      <c r="Y22" s="144" t="s">
        <v>244</v>
      </c>
      <c r="Z22" s="144" t="s">
        <v>245</v>
      </c>
      <c r="AA22" s="144" t="s">
        <v>246</v>
      </c>
    </row>
    <row r="23" spans="1:256" x14ac:dyDescent="0.25">
      <c r="A23" s="280"/>
      <c r="B23" s="143" t="s">
        <v>247</v>
      </c>
      <c r="C23" s="143" t="s">
        <v>248</v>
      </c>
      <c r="D23" s="143" t="s">
        <v>247</v>
      </c>
      <c r="E23" s="143" t="s">
        <v>248</v>
      </c>
      <c r="F23" s="143" t="s">
        <v>247</v>
      </c>
      <c r="G23" s="143" t="s">
        <v>248</v>
      </c>
      <c r="H23" s="143" t="s">
        <v>247</v>
      </c>
      <c r="I23" s="143" t="s">
        <v>248</v>
      </c>
      <c r="J23" s="143" t="s">
        <v>247</v>
      </c>
      <c r="K23" s="143" t="s">
        <v>247</v>
      </c>
      <c r="L23" s="143" t="s">
        <v>248</v>
      </c>
      <c r="M23" s="143" t="s">
        <v>247</v>
      </c>
      <c r="N23" s="143" t="s">
        <v>248</v>
      </c>
      <c r="O23" s="143" t="s">
        <v>247</v>
      </c>
      <c r="P23" s="143" t="s">
        <v>248</v>
      </c>
      <c r="Q23" s="143" t="s">
        <v>247</v>
      </c>
      <c r="R23" s="143" t="s">
        <v>248</v>
      </c>
      <c r="S23" s="143" t="s">
        <v>247</v>
      </c>
      <c r="T23" s="143" t="s">
        <v>247</v>
      </c>
      <c r="U23" s="143" t="s">
        <v>247</v>
      </c>
      <c r="V23" s="143" t="s">
        <v>247</v>
      </c>
      <c r="W23" s="143" t="s">
        <v>248</v>
      </c>
      <c r="X23" s="143" t="s">
        <v>247</v>
      </c>
      <c r="Y23" s="143" t="s">
        <v>247</v>
      </c>
      <c r="Z23" s="144" t="s">
        <v>247</v>
      </c>
      <c r="AA23" s="144" t="s">
        <v>247</v>
      </c>
    </row>
    <row r="24" spans="1:256" x14ac:dyDescent="0.25">
      <c r="A24" s="145">
        <v>1</v>
      </c>
      <c r="B24" s="145">
        <v>2</v>
      </c>
      <c r="C24" s="145">
        <v>3</v>
      </c>
      <c r="D24" s="145">
        <v>4</v>
      </c>
      <c r="E24" s="145">
        <v>5</v>
      </c>
      <c r="F24" s="145">
        <v>6</v>
      </c>
      <c r="G24" s="145">
        <v>7</v>
      </c>
      <c r="H24" s="145">
        <v>8</v>
      </c>
      <c r="I24" s="145">
        <v>9</v>
      </c>
      <c r="J24" s="145">
        <v>10</v>
      </c>
      <c r="K24" s="145">
        <v>11</v>
      </c>
      <c r="L24" s="145">
        <v>12</v>
      </c>
      <c r="M24" s="145">
        <v>13</v>
      </c>
      <c r="N24" s="145">
        <v>14</v>
      </c>
      <c r="O24" s="145">
        <v>15</v>
      </c>
      <c r="P24" s="145">
        <v>16</v>
      </c>
      <c r="Q24" s="145">
        <v>19</v>
      </c>
      <c r="R24" s="145">
        <v>20</v>
      </c>
      <c r="S24" s="145">
        <v>21</v>
      </c>
      <c r="T24" s="145">
        <v>22</v>
      </c>
      <c r="U24" s="145">
        <v>23</v>
      </c>
      <c r="V24" s="145">
        <v>24</v>
      </c>
      <c r="W24" s="145">
        <v>25</v>
      </c>
      <c r="X24" s="145">
        <v>26</v>
      </c>
      <c r="Y24" s="145">
        <v>27</v>
      </c>
      <c r="Z24" s="145">
        <v>28</v>
      </c>
      <c r="AA24" s="145">
        <v>29</v>
      </c>
    </row>
    <row r="25" spans="1:256" x14ac:dyDescent="0.25">
      <c r="A25" s="146" t="s">
        <v>229</v>
      </c>
      <c r="B25" s="146" t="s">
        <v>229</v>
      </c>
      <c r="C25" s="146" t="s">
        <v>229</v>
      </c>
      <c r="D25" s="146" t="s">
        <v>229</v>
      </c>
      <c r="E25" s="146" t="s">
        <v>229</v>
      </c>
      <c r="F25" s="146" t="s">
        <v>229</v>
      </c>
      <c r="G25" s="146" t="s">
        <v>229</v>
      </c>
      <c r="H25" s="146" t="s">
        <v>229</v>
      </c>
      <c r="I25" s="146" t="s">
        <v>229</v>
      </c>
      <c r="J25" s="146" t="s">
        <v>229</v>
      </c>
      <c r="K25" s="146" t="s">
        <v>229</v>
      </c>
      <c r="L25" s="146" t="s">
        <v>229</v>
      </c>
      <c r="M25" s="146" t="s">
        <v>229</v>
      </c>
      <c r="N25" s="146" t="s">
        <v>229</v>
      </c>
      <c r="O25" s="146" t="s">
        <v>229</v>
      </c>
      <c r="P25" s="146" t="s">
        <v>229</v>
      </c>
      <c r="Q25" s="146" t="s">
        <v>229</v>
      </c>
      <c r="R25" s="146" t="s">
        <v>229</v>
      </c>
      <c r="S25" s="146" t="s">
        <v>229</v>
      </c>
      <c r="T25" s="146" t="s">
        <v>229</v>
      </c>
      <c r="U25" s="146" t="s">
        <v>229</v>
      </c>
      <c r="V25" s="146" t="s">
        <v>229</v>
      </c>
      <c r="W25" s="146" t="s">
        <v>229</v>
      </c>
      <c r="X25" s="146" t="s">
        <v>229</v>
      </c>
      <c r="Y25" s="146" t="s">
        <v>229</v>
      </c>
      <c r="Z25" s="146" t="s">
        <v>229</v>
      </c>
      <c r="AA25" s="146" t="s">
        <v>229</v>
      </c>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2"/>
      <c r="GE25" s="142"/>
      <c r="GF25" s="142"/>
      <c r="GG25" s="142"/>
      <c r="GH25" s="142"/>
      <c r="GI25" s="142"/>
      <c r="GJ25" s="142"/>
      <c r="GK25" s="142"/>
      <c r="GL25" s="142"/>
      <c r="GM25" s="142"/>
      <c r="GN25" s="142"/>
      <c r="GO25" s="142"/>
      <c r="GP25" s="142"/>
      <c r="GQ25" s="142"/>
      <c r="GR25" s="142"/>
      <c r="GS25" s="142"/>
      <c r="GT25" s="142"/>
      <c r="GU25" s="142"/>
      <c r="GV25" s="142"/>
      <c r="GW25" s="142"/>
      <c r="GX25" s="142"/>
      <c r="GY25" s="142"/>
      <c r="GZ25" s="142"/>
      <c r="HA25" s="142"/>
      <c r="HB25" s="142"/>
      <c r="HC25" s="142"/>
      <c r="HD25" s="142"/>
      <c r="HE25" s="142"/>
      <c r="HF25" s="142"/>
      <c r="HG25" s="142"/>
      <c r="HH25" s="142"/>
      <c r="HI25" s="142"/>
      <c r="HJ25" s="142"/>
      <c r="HK25" s="142"/>
      <c r="HL25" s="142"/>
      <c r="HM25" s="142"/>
      <c r="HN25" s="142"/>
      <c r="HO25" s="142"/>
      <c r="HP25" s="142"/>
      <c r="HQ25" s="142"/>
      <c r="HR25" s="142"/>
      <c r="HS25" s="142"/>
      <c r="HT25" s="142"/>
      <c r="HU25" s="142"/>
      <c r="HV25" s="142"/>
      <c r="HW25" s="142"/>
      <c r="HX25" s="142"/>
      <c r="HY25" s="142"/>
      <c r="HZ25" s="142"/>
      <c r="IA25" s="142"/>
      <c r="IB25" s="142"/>
      <c r="IC25" s="142"/>
      <c r="ID25" s="142"/>
      <c r="IE25" s="142"/>
      <c r="IF25" s="142"/>
      <c r="IG25" s="142"/>
      <c r="IH25" s="142"/>
      <c r="II25" s="142"/>
      <c r="IJ25" s="142"/>
      <c r="IK25" s="142"/>
      <c r="IL25" s="142"/>
      <c r="IM25" s="142"/>
      <c r="IN25" s="142"/>
      <c r="IO25" s="142"/>
      <c r="IP25" s="142"/>
      <c r="IQ25" s="142"/>
      <c r="IR25" s="142"/>
      <c r="IS25" s="142"/>
      <c r="IT25" s="142"/>
      <c r="IU25" s="142"/>
      <c r="IV25" s="142"/>
    </row>
    <row r="27" spans="1:256" x14ac:dyDescent="0.25">
      <c r="A27" s="147"/>
      <c r="B27" s="147"/>
      <c r="C27" s="147"/>
      <c r="D27" s="148"/>
      <c r="E27" s="147"/>
      <c r="F27" s="148"/>
      <c r="G27" s="148"/>
      <c r="H27" s="148"/>
      <c r="I27" s="148"/>
      <c r="J27" s="148"/>
      <c r="K27" s="148"/>
      <c r="L27" s="148"/>
      <c r="M27" s="148"/>
      <c r="N27" s="148"/>
      <c r="O27" s="148"/>
      <c r="P27" s="148"/>
      <c r="Q27" s="148"/>
      <c r="R27" s="148"/>
      <c r="S27" s="148"/>
      <c r="T27" s="148"/>
      <c r="U27" s="148"/>
      <c r="V27" s="148"/>
      <c r="W27" s="148"/>
      <c r="X27" s="149"/>
      <c r="Y27" s="149"/>
      <c r="Z27" s="149"/>
      <c r="AA27" s="149"/>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48"/>
      <c r="BY27" s="148"/>
      <c r="BZ27" s="148"/>
      <c r="CA27" s="148"/>
      <c r="CB27" s="148"/>
      <c r="CC27" s="148"/>
      <c r="CD27" s="148"/>
      <c r="CE27" s="148"/>
      <c r="CF27" s="148"/>
      <c r="CG27" s="148"/>
      <c r="CH27" s="148"/>
      <c r="CI27" s="148"/>
      <c r="CJ27" s="148"/>
      <c r="CK27" s="148"/>
      <c r="CL27" s="148"/>
      <c r="CM27" s="148"/>
      <c r="CN27" s="148"/>
      <c r="CO27" s="148"/>
      <c r="CP27" s="148"/>
      <c r="CQ27" s="148"/>
      <c r="CR27" s="148"/>
      <c r="CS27" s="148"/>
      <c r="CT27" s="148"/>
      <c r="CU27" s="148"/>
      <c r="CV27" s="148"/>
      <c r="CW27" s="148"/>
      <c r="CX27" s="148"/>
      <c r="CY27" s="148"/>
      <c r="CZ27" s="148"/>
      <c r="DA27" s="148"/>
      <c r="DB27" s="148"/>
      <c r="DC27" s="148"/>
      <c r="DD27" s="148"/>
      <c r="DE27" s="148"/>
      <c r="DF27" s="148"/>
      <c r="DG27" s="148"/>
      <c r="DH27" s="148"/>
      <c r="DI27" s="148"/>
      <c r="DJ27" s="148"/>
      <c r="DK27" s="148"/>
      <c r="DL27" s="148"/>
      <c r="DM27" s="148"/>
      <c r="DN27" s="148"/>
      <c r="DO27" s="148"/>
      <c r="DP27" s="148"/>
      <c r="DQ27" s="148"/>
      <c r="DR27" s="148"/>
      <c r="DS27" s="148"/>
      <c r="DT27" s="148"/>
      <c r="DU27" s="148"/>
      <c r="DV27" s="148"/>
      <c r="DW27" s="148"/>
      <c r="DX27" s="148"/>
      <c r="DY27" s="148"/>
      <c r="DZ27" s="148"/>
      <c r="EA27" s="148"/>
      <c r="EB27" s="148"/>
      <c r="EC27" s="148"/>
      <c r="ED27" s="148"/>
      <c r="EE27" s="148"/>
      <c r="EF27" s="148"/>
      <c r="EG27" s="148"/>
      <c r="EH27" s="148"/>
      <c r="EI27" s="148"/>
      <c r="EJ27" s="148"/>
      <c r="EK27" s="148"/>
      <c r="EL27" s="148"/>
      <c r="EM27" s="148"/>
      <c r="EN27" s="148"/>
      <c r="EO27" s="148"/>
      <c r="EP27" s="148"/>
      <c r="EQ27" s="148"/>
      <c r="ER27" s="148"/>
      <c r="ES27" s="148"/>
      <c r="ET27" s="148"/>
      <c r="EU27" s="148"/>
      <c r="EV27" s="148"/>
      <c r="EW27" s="148"/>
      <c r="EX27" s="148"/>
      <c r="EY27" s="148"/>
      <c r="EZ27" s="148"/>
      <c r="FA27" s="148"/>
      <c r="FB27" s="148"/>
      <c r="FC27" s="148"/>
      <c r="FD27" s="148"/>
      <c r="FE27" s="148"/>
      <c r="FF27" s="148"/>
      <c r="FG27" s="148"/>
      <c r="FH27" s="148"/>
      <c r="FI27" s="148"/>
      <c r="FJ27" s="148"/>
      <c r="FK27" s="148"/>
      <c r="FL27" s="148"/>
      <c r="FM27" s="148"/>
      <c r="FN27" s="148"/>
      <c r="FO27" s="148"/>
      <c r="FP27" s="148"/>
      <c r="FQ27" s="148"/>
      <c r="FR27" s="148"/>
      <c r="FS27" s="148"/>
      <c r="FT27" s="148"/>
      <c r="FU27" s="148"/>
      <c r="FV27" s="148"/>
      <c r="FW27" s="148"/>
      <c r="FX27" s="148"/>
      <c r="FY27" s="148"/>
      <c r="FZ27" s="148"/>
      <c r="GA27" s="148"/>
      <c r="GB27" s="148"/>
      <c r="GC27" s="148"/>
      <c r="GD27" s="148"/>
      <c r="GE27" s="148"/>
      <c r="GF27" s="148"/>
      <c r="GG27" s="148"/>
      <c r="GH27" s="148"/>
      <c r="GI27" s="148"/>
      <c r="GJ27" s="148"/>
      <c r="GK27" s="148"/>
      <c r="GL27" s="148"/>
      <c r="GM27" s="148"/>
      <c r="GN27" s="148"/>
      <c r="GO27" s="148"/>
      <c r="GP27" s="148"/>
      <c r="GQ27" s="148"/>
      <c r="GR27" s="148"/>
      <c r="GS27" s="148"/>
      <c r="GT27" s="148"/>
      <c r="GU27" s="148"/>
      <c r="GV27" s="148"/>
      <c r="GW27" s="148"/>
      <c r="GX27" s="148"/>
      <c r="GY27" s="148"/>
      <c r="GZ27" s="148"/>
      <c r="HA27" s="148"/>
      <c r="HB27" s="148"/>
      <c r="HC27" s="148"/>
      <c r="HD27" s="148"/>
      <c r="HE27" s="148"/>
      <c r="HF27" s="148"/>
      <c r="HG27" s="148"/>
      <c r="HH27" s="148"/>
      <c r="HI27" s="148"/>
      <c r="HJ27" s="148"/>
      <c r="HK27" s="148"/>
      <c r="HL27" s="148"/>
      <c r="HM27" s="148"/>
      <c r="HN27" s="148"/>
      <c r="HO27" s="148"/>
      <c r="HP27" s="148"/>
      <c r="HQ27" s="148"/>
      <c r="HR27" s="148"/>
      <c r="HS27" s="148"/>
      <c r="HT27" s="148"/>
      <c r="HU27" s="148"/>
      <c r="HV27" s="148"/>
      <c r="HW27" s="148"/>
      <c r="HX27" s="148"/>
      <c r="HY27" s="148"/>
      <c r="HZ27" s="148"/>
      <c r="IA27" s="148"/>
      <c r="IB27" s="148"/>
      <c r="IC27" s="148"/>
      <c r="ID27" s="148"/>
      <c r="IE27" s="148"/>
      <c r="IF27" s="148"/>
      <c r="IG27" s="148"/>
      <c r="IH27" s="148"/>
      <c r="II27" s="148"/>
      <c r="IJ27" s="148"/>
      <c r="IK27" s="148"/>
      <c r="IL27" s="148"/>
      <c r="IM27" s="148"/>
      <c r="IN27" s="148"/>
      <c r="IO27" s="148"/>
      <c r="IP27" s="148"/>
      <c r="IQ27" s="148"/>
      <c r="IR27" s="148"/>
      <c r="IS27" s="148"/>
      <c r="IT27" s="148"/>
      <c r="IU27" s="148"/>
      <c r="IV27" s="148"/>
    </row>
    <row r="28" spans="1:256" x14ac:dyDescent="0.25">
      <c r="A28" s="147"/>
      <c r="B28" s="147"/>
      <c r="C28" s="147"/>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c r="BI28" s="148"/>
      <c r="BJ28" s="148"/>
      <c r="BK28" s="148"/>
      <c r="BL28" s="148"/>
      <c r="BM28" s="148"/>
      <c r="BN28" s="148"/>
      <c r="BO28" s="148"/>
      <c r="BP28" s="148"/>
      <c r="BQ28" s="148"/>
      <c r="BR28" s="148"/>
      <c r="BS28" s="148"/>
      <c r="BT28" s="148"/>
      <c r="BU28" s="148"/>
      <c r="BV28" s="148"/>
      <c r="BW28" s="148"/>
      <c r="BX28" s="148"/>
      <c r="BY28" s="148"/>
      <c r="BZ28" s="148"/>
      <c r="CA28" s="148"/>
      <c r="CB28" s="148"/>
      <c r="CC28" s="148"/>
      <c r="CD28" s="148"/>
      <c r="CE28" s="148"/>
      <c r="CF28" s="148"/>
      <c r="CG28" s="148"/>
      <c r="CH28" s="148"/>
      <c r="CI28" s="148"/>
      <c r="CJ28" s="148"/>
      <c r="CK28" s="148"/>
      <c r="CL28" s="148"/>
      <c r="CM28" s="148"/>
      <c r="CN28" s="148"/>
      <c r="CO28" s="148"/>
      <c r="CP28" s="148"/>
      <c r="CQ28" s="148"/>
      <c r="CR28" s="148"/>
      <c r="CS28" s="148"/>
      <c r="CT28" s="148"/>
      <c r="CU28" s="148"/>
      <c r="CV28" s="148"/>
      <c r="CW28" s="148"/>
      <c r="CX28" s="148"/>
      <c r="CY28" s="148"/>
      <c r="CZ28" s="148"/>
      <c r="DA28" s="148"/>
      <c r="DB28" s="148"/>
      <c r="DC28" s="148"/>
      <c r="DD28" s="148"/>
      <c r="DE28" s="148"/>
      <c r="DF28" s="148"/>
      <c r="DG28" s="148"/>
      <c r="DH28" s="148"/>
      <c r="DI28" s="148"/>
      <c r="DJ28" s="148"/>
      <c r="DK28" s="148"/>
      <c r="DL28" s="148"/>
      <c r="DM28" s="148"/>
      <c r="DN28" s="148"/>
      <c r="DO28" s="148"/>
      <c r="DP28" s="148"/>
      <c r="DQ28" s="148"/>
      <c r="DR28" s="148"/>
      <c r="DS28" s="148"/>
      <c r="DT28" s="148"/>
      <c r="DU28" s="148"/>
      <c r="DV28" s="148"/>
      <c r="DW28" s="148"/>
      <c r="DX28" s="148"/>
      <c r="DY28" s="148"/>
      <c r="DZ28" s="148"/>
      <c r="EA28" s="148"/>
      <c r="EB28" s="148"/>
      <c r="EC28" s="148"/>
      <c r="ED28" s="148"/>
      <c r="EE28" s="148"/>
      <c r="EF28" s="148"/>
      <c r="EG28" s="148"/>
      <c r="EH28" s="148"/>
      <c r="EI28" s="148"/>
      <c r="EJ28" s="148"/>
      <c r="EK28" s="148"/>
      <c r="EL28" s="148"/>
      <c r="EM28" s="148"/>
      <c r="EN28" s="148"/>
      <c r="EO28" s="148"/>
      <c r="EP28" s="148"/>
      <c r="EQ28" s="148"/>
      <c r="ER28" s="148"/>
      <c r="ES28" s="148"/>
      <c r="ET28" s="148"/>
      <c r="EU28" s="148"/>
      <c r="EV28" s="148"/>
      <c r="EW28" s="148"/>
      <c r="EX28" s="148"/>
      <c r="EY28" s="148"/>
      <c r="EZ28" s="148"/>
      <c r="FA28" s="148"/>
      <c r="FB28" s="148"/>
      <c r="FC28" s="148"/>
      <c r="FD28" s="148"/>
      <c r="FE28" s="148"/>
      <c r="FF28" s="148"/>
      <c r="FG28" s="148"/>
      <c r="FH28" s="148"/>
      <c r="FI28" s="148"/>
      <c r="FJ28" s="148"/>
      <c r="FK28" s="148"/>
      <c r="FL28" s="148"/>
      <c r="FM28" s="148"/>
      <c r="FN28" s="148"/>
      <c r="FO28" s="148"/>
      <c r="FP28" s="148"/>
      <c r="FQ28" s="148"/>
      <c r="FR28" s="148"/>
      <c r="FS28" s="148"/>
      <c r="FT28" s="148"/>
      <c r="FU28" s="148"/>
      <c r="FV28" s="148"/>
      <c r="FW28" s="148"/>
      <c r="FX28" s="148"/>
      <c r="FY28" s="148"/>
      <c r="FZ28" s="148"/>
      <c r="GA28" s="148"/>
      <c r="GB28" s="148"/>
      <c r="GC28" s="148"/>
      <c r="GD28" s="148"/>
      <c r="GE28" s="148"/>
      <c r="GF28" s="148"/>
      <c r="GG28" s="148"/>
      <c r="GH28" s="148"/>
      <c r="GI28" s="148"/>
      <c r="GJ28" s="148"/>
      <c r="GK28" s="148"/>
      <c r="GL28" s="148"/>
      <c r="GM28" s="148"/>
      <c r="GN28" s="148"/>
      <c r="GO28" s="148"/>
      <c r="GP28" s="148"/>
      <c r="GQ28" s="148"/>
      <c r="GR28" s="148"/>
      <c r="GS28" s="148"/>
      <c r="GT28" s="148"/>
      <c r="GU28" s="148"/>
      <c r="GV28" s="148"/>
      <c r="GW28" s="148"/>
      <c r="GX28" s="148"/>
      <c r="GY28" s="148"/>
      <c r="GZ28" s="148"/>
      <c r="HA28" s="148"/>
      <c r="HB28" s="148"/>
      <c r="HC28" s="148"/>
      <c r="HD28" s="148"/>
      <c r="HE28" s="148"/>
      <c r="HF28" s="148"/>
      <c r="HG28" s="148"/>
      <c r="HH28" s="148"/>
      <c r="HI28" s="148"/>
      <c r="HJ28" s="148"/>
      <c r="HK28" s="148"/>
      <c r="HL28" s="148"/>
      <c r="HM28" s="148"/>
      <c r="HN28" s="148"/>
      <c r="HO28" s="148"/>
      <c r="HP28" s="148"/>
      <c r="HQ28" s="148"/>
      <c r="HR28" s="148"/>
      <c r="HS28" s="148"/>
      <c r="HT28" s="148"/>
      <c r="HU28" s="148"/>
      <c r="HV28" s="148"/>
      <c r="HW28" s="148"/>
      <c r="HX28" s="148"/>
      <c r="HY28" s="148"/>
      <c r="HZ28" s="148"/>
      <c r="IA28" s="148"/>
      <c r="IB28" s="148"/>
      <c r="IC28" s="148"/>
      <c r="ID28" s="148"/>
      <c r="IE28" s="148"/>
      <c r="IF28" s="148"/>
      <c r="IG28" s="148"/>
      <c r="IH28" s="148"/>
      <c r="II28" s="148"/>
      <c r="IJ28" s="148"/>
      <c r="IK28" s="148"/>
      <c r="IL28" s="148"/>
      <c r="IM28" s="148"/>
      <c r="IN28" s="148"/>
      <c r="IO28" s="148"/>
      <c r="IP28" s="148"/>
      <c r="IQ28" s="148"/>
      <c r="IR28" s="148"/>
      <c r="IS28" s="148"/>
      <c r="IT28" s="148"/>
      <c r="IU28" s="148"/>
      <c r="IV28" s="148"/>
    </row>
  </sheetData>
  <mergeCells count="27">
    <mergeCell ref="A5:AA5"/>
    <mergeCell ref="E7:Y7"/>
    <mergeCell ref="E9:Y9"/>
    <mergeCell ref="E10:Y10"/>
    <mergeCell ref="F21:I21"/>
    <mergeCell ref="J21:J22"/>
    <mergeCell ref="V21:W22"/>
    <mergeCell ref="X21:Y21"/>
    <mergeCell ref="F22:G22"/>
    <mergeCell ref="H22:I22"/>
    <mergeCell ref="M21:N22"/>
    <mergeCell ref="O21:P22"/>
    <mergeCell ref="K21:L22"/>
    <mergeCell ref="Z21:AA21"/>
    <mergeCell ref="Q21:R22"/>
    <mergeCell ref="S21:S22"/>
    <mergeCell ref="A15:AA15"/>
    <mergeCell ref="A12:Z12"/>
    <mergeCell ref="E13:Y13"/>
    <mergeCell ref="U21:U22"/>
    <mergeCell ref="E16:Y16"/>
    <mergeCell ref="E18:Y18"/>
    <mergeCell ref="A19:AA19"/>
    <mergeCell ref="A21:A23"/>
    <mergeCell ref="B21:C22"/>
    <mergeCell ref="D21:E22"/>
    <mergeCell ref="T21:T2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60" zoomScaleNormal="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22</v>
      </c>
      <c r="E1" s="14"/>
      <c r="F1" s="14"/>
    </row>
    <row r="2" spans="1:29" s="10" customFormat="1" ht="18.75" customHeight="1" x14ac:dyDescent="0.3">
      <c r="A2" s="16"/>
      <c r="C2" s="13" t="s">
        <v>6</v>
      </c>
      <c r="E2" s="14"/>
      <c r="F2" s="14"/>
    </row>
    <row r="3" spans="1:29" s="10" customFormat="1" ht="18.75" x14ac:dyDescent="0.3">
      <c r="A3" s="15"/>
      <c r="C3" s="13" t="s">
        <v>21</v>
      </c>
      <c r="E3" s="14"/>
      <c r="F3" s="14"/>
    </row>
    <row r="4" spans="1:29" s="10" customFormat="1" ht="18.75" x14ac:dyDescent="0.3">
      <c r="A4" s="15"/>
      <c r="C4" s="13"/>
      <c r="E4" s="14"/>
      <c r="F4" s="14"/>
    </row>
    <row r="5" spans="1:29" s="10" customFormat="1" ht="15.75" x14ac:dyDescent="0.2">
      <c r="A5" s="238" t="str">
        <f>'3.2. паспорт Техсостояние ЛЭП'!A5:AA5</f>
        <v>Год раскрытия информации: 2021 год</v>
      </c>
      <c r="B5" s="238"/>
      <c r="C5" s="238"/>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10" customFormat="1" ht="18.75" x14ac:dyDescent="0.3">
      <c r="A6" s="15"/>
      <c r="E6" s="14"/>
      <c r="F6" s="14"/>
      <c r="G6" s="13"/>
    </row>
    <row r="7" spans="1:29" s="10" customFormat="1" ht="18.75" x14ac:dyDescent="0.2">
      <c r="A7" s="242" t="s">
        <v>5</v>
      </c>
      <c r="B7" s="242"/>
      <c r="C7" s="242"/>
      <c r="D7" s="11"/>
      <c r="E7" s="11"/>
      <c r="F7" s="11"/>
      <c r="G7" s="11"/>
      <c r="H7" s="11"/>
      <c r="I7" s="11"/>
      <c r="J7" s="11"/>
      <c r="K7" s="11"/>
      <c r="L7" s="11"/>
      <c r="M7" s="11"/>
      <c r="N7" s="11"/>
      <c r="O7" s="11"/>
      <c r="P7" s="11"/>
      <c r="Q7" s="11"/>
      <c r="R7" s="11"/>
      <c r="S7" s="11"/>
      <c r="T7" s="11"/>
      <c r="U7" s="11"/>
    </row>
    <row r="8" spans="1:29" s="10" customFormat="1" ht="18.75" x14ac:dyDescent="0.2">
      <c r="A8" s="242"/>
      <c r="B8" s="242"/>
      <c r="C8" s="242"/>
      <c r="D8" s="12"/>
      <c r="E8" s="12"/>
      <c r="F8" s="12"/>
      <c r="G8" s="12"/>
      <c r="H8" s="11"/>
      <c r="I8" s="11"/>
      <c r="J8" s="11"/>
      <c r="K8" s="11"/>
      <c r="L8" s="11"/>
      <c r="M8" s="11"/>
      <c r="N8" s="11"/>
      <c r="O8" s="11"/>
      <c r="P8" s="11"/>
      <c r="Q8" s="11"/>
      <c r="R8" s="11"/>
      <c r="S8" s="11"/>
      <c r="T8" s="11"/>
      <c r="U8" s="11"/>
    </row>
    <row r="9" spans="1:29" s="10" customFormat="1" ht="18.75" x14ac:dyDescent="0.2">
      <c r="A9" s="243" t="s">
        <v>177</v>
      </c>
      <c r="B9" s="243"/>
      <c r="C9" s="243"/>
      <c r="D9" s="6"/>
      <c r="E9" s="6"/>
      <c r="F9" s="6"/>
      <c r="G9" s="6"/>
      <c r="H9" s="11"/>
      <c r="I9" s="11"/>
      <c r="J9" s="11"/>
      <c r="K9" s="11"/>
      <c r="L9" s="11"/>
      <c r="M9" s="11"/>
      <c r="N9" s="11"/>
      <c r="O9" s="11"/>
      <c r="P9" s="11"/>
      <c r="Q9" s="11"/>
      <c r="R9" s="11"/>
      <c r="S9" s="11"/>
      <c r="T9" s="11"/>
      <c r="U9" s="11"/>
    </row>
    <row r="10" spans="1:29" s="10" customFormat="1" ht="18.75" x14ac:dyDescent="0.2">
      <c r="A10" s="239" t="s">
        <v>4</v>
      </c>
      <c r="B10" s="239"/>
      <c r="C10" s="239"/>
      <c r="D10" s="4"/>
      <c r="E10" s="4"/>
      <c r="F10" s="4"/>
      <c r="G10" s="4"/>
      <c r="H10" s="11"/>
      <c r="I10" s="11"/>
      <c r="J10" s="11"/>
      <c r="K10" s="11"/>
      <c r="L10" s="11"/>
      <c r="M10" s="11"/>
      <c r="N10" s="11"/>
      <c r="O10" s="11"/>
      <c r="P10" s="11"/>
      <c r="Q10" s="11"/>
      <c r="R10" s="11"/>
      <c r="S10" s="11"/>
      <c r="T10" s="11"/>
      <c r="U10" s="11"/>
    </row>
    <row r="11" spans="1:29" s="10" customFormat="1" ht="18.75" x14ac:dyDescent="0.2">
      <c r="A11" s="242"/>
      <c r="B11" s="242"/>
      <c r="C11" s="242"/>
      <c r="D11" s="12"/>
      <c r="E11" s="12"/>
      <c r="F11" s="12"/>
      <c r="G11" s="12"/>
      <c r="H11" s="11"/>
      <c r="I11" s="11"/>
      <c r="J11" s="11"/>
      <c r="K11" s="11"/>
      <c r="L11" s="11"/>
      <c r="M11" s="11"/>
      <c r="N11" s="11"/>
      <c r="O11" s="11"/>
      <c r="P11" s="11"/>
      <c r="Q11" s="11"/>
      <c r="R11" s="11"/>
      <c r="S11" s="11"/>
      <c r="T11" s="11"/>
      <c r="U11" s="11"/>
    </row>
    <row r="12" spans="1:29" s="10" customFormat="1" ht="18.75" x14ac:dyDescent="0.2">
      <c r="A12" s="243" t="str">
        <f>'1. паспорт местоположение'!A12:C12</f>
        <v>L_Che442_21</v>
      </c>
      <c r="B12" s="243"/>
      <c r="C12" s="243"/>
      <c r="D12" s="6"/>
      <c r="E12" s="6"/>
      <c r="F12" s="6"/>
      <c r="G12" s="6"/>
      <c r="H12" s="11"/>
      <c r="I12" s="11"/>
      <c r="J12" s="11"/>
      <c r="K12" s="11"/>
      <c r="L12" s="11"/>
      <c r="M12" s="11"/>
      <c r="N12" s="11"/>
      <c r="O12" s="11"/>
      <c r="P12" s="11"/>
      <c r="Q12" s="11"/>
      <c r="R12" s="11"/>
      <c r="S12" s="11"/>
      <c r="T12" s="11"/>
      <c r="U12" s="11"/>
    </row>
    <row r="13" spans="1:29" s="10" customFormat="1" ht="18.75" x14ac:dyDescent="0.2">
      <c r="A13" s="239" t="s">
        <v>3</v>
      </c>
      <c r="B13" s="239"/>
      <c r="C13" s="23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1"/>
      <c r="B14" s="291"/>
      <c r="C14" s="291"/>
      <c r="D14" s="8"/>
      <c r="E14" s="8"/>
      <c r="F14" s="8"/>
      <c r="G14" s="8"/>
      <c r="H14" s="8"/>
      <c r="I14" s="8"/>
      <c r="J14" s="8"/>
      <c r="K14" s="8"/>
      <c r="L14" s="8"/>
      <c r="M14" s="8"/>
      <c r="N14" s="8"/>
      <c r="O14" s="8"/>
      <c r="P14" s="8"/>
      <c r="Q14" s="8"/>
      <c r="R14" s="8"/>
      <c r="S14" s="8"/>
      <c r="T14" s="8"/>
      <c r="U14" s="8"/>
    </row>
    <row r="15" spans="1:29" s="2" customFormat="1" ht="15.75" x14ac:dyDescent="0.2">
      <c r="A15" s="243" t="str">
        <f>'1. паспорт местоположение'!A15:C15</f>
        <v>Приобретение оборудования в рамках Программы подготовки к ОЗП 2020/2021 гг.</v>
      </c>
      <c r="B15" s="243"/>
      <c r="C15" s="243"/>
      <c r="D15" s="6"/>
      <c r="E15" s="6"/>
      <c r="F15" s="6"/>
      <c r="G15" s="6"/>
      <c r="H15" s="6"/>
      <c r="I15" s="6"/>
      <c r="J15" s="6"/>
      <c r="K15" s="6"/>
      <c r="L15" s="6"/>
      <c r="M15" s="6"/>
      <c r="N15" s="6"/>
      <c r="O15" s="6"/>
      <c r="P15" s="6"/>
      <c r="Q15" s="6"/>
      <c r="R15" s="6"/>
      <c r="S15" s="6"/>
      <c r="T15" s="6"/>
      <c r="U15" s="6"/>
    </row>
    <row r="16" spans="1:29" s="2" customFormat="1" ht="15" customHeight="1" x14ac:dyDescent="0.2">
      <c r="A16" s="239" t="s">
        <v>2</v>
      </c>
      <c r="B16" s="239"/>
      <c r="C16" s="239"/>
      <c r="D16" s="4"/>
      <c r="E16" s="4"/>
      <c r="F16" s="4"/>
      <c r="G16" s="4"/>
      <c r="H16" s="4"/>
      <c r="I16" s="4"/>
      <c r="J16" s="4"/>
      <c r="K16" s="4"/>
      <c r="L16" s="4"/>
      <c r="M16" s="4"/>
      <c r="N16" s="4"/>
      <c r="O16" s="4"/>
      <c r="P16" s="4"/>
      <c r="Q16" s="4"/>
      <c r="R16" s="4"/>
      <c r="S16" s="4"/>
      <c r="T16" s="4"/>
      <c r="U16" s="4"/>
    </row>
    <row r="17" spans="1:21" s="2" customFormat="1" ht="15" customHeight="1" x14ac:dyDescent="0.2">
      <c r="A17" s="290"/>
      <c r="B17" s="290"/>
      <c r="C17" s="290"/>
      <c r="D17" s="3"/>
      <c r="E17" s="3"/>
      <c r="F17" s="3"/>
      <c r="G17" s="3"/>
      <c r="H17" s="3"/>
      <c r="I17" s="3"/>
      <c r="J17" s="3"/>
      <c r="K17" s="3"/>
      <c r="L17" s="3"/>
      <c r="M17" s="3"/>
      <c r="N17" s="3"/>
      <c r="O17" s="3"/>
      <c r="P17" s="3"/>
      <c r="Q17" s="3"/>
      <c r="R17" s="3"/>
    </row>
    <row r="18" spans="1:21" s="2" customFormat="1" ht="27.75" customHeight="1" x14ac:dyDescent="0.2">
      <c r="A18" s="240" t="s">
        <v>165</v>
      </c>
      <c r="B18" s="240"/>
      <c r="C18" s="24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1</v>
      </c>
      <c r="B20" s="32" t="s">
        <v>20</v>
      </c>
      <c r="C20" s="31" t="s">
        <v>19</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1">
        <v>1</v>
      </c>
      <c r="B21" s="32">
        <v>2</v>
      </c>
      <c r="C21" s="31">
        <v>3</v>
      </c>
      <c r="D21" s="23"/>
      <c r="E21" s="23"/>
      <c r="F21" s="23"/>
      <c r="G21" s="23"/>
      <c r="H21" s="22"/>
      <c r="I21" s="22"/>
      <c r="J21" s="22"/>
      <c r="K21" s="22"/>
      <c r="L21" s="22"/>
      <c r="M21" s="22"/>
      <c r="N21" s="22"/>
      <c r="O21" s="22"/>
      <c r="P21" s="22"/>
      <c r="Q21" s="22"/>
      <c r="R21" s="22"/>
      <c r="S21" s="21"/>
      <c r="T21" s="21"/>
      <c r="U21" s="21"/>
    </row>
    <row r="22" spans="1:21" s="2" customFormat="1" ht="48" customHeight="1" x14ac:dyDescent="0.2">
      <c r="A22" s="18" t="s">
        <v>18</v>
      </c>
      <c r="B22" s="24" t="s">
        <v>168</v>
      </c>
      <c r="C22" s="83" t="s">
        <v>190</v>
      </c>
      <c r="D22" s="23"/>
      <c r="E22" s="23"/>
      <c r="F22" s="22"/>
      <c r="G22" s="22"/>
      <c r="H22" s="22"/>
      <c r="I22" s="22"/>
      <c r="J22" s="22"/>
      <c r="K22" s="22"/>
      <c r="L22" s="22"/>
      <c r="M22" s="22"/>
      <c r="N22" s="22"/>
      <c r="O22" s="22"/>
      <c r="P22" s="22"/>
      <c r="Q22" s="21"/>
      <c r="R22" s="21"/>
      <c r="S22" s="21"/>
      <c r="T22" s="21"/>
      <c r="U22" s="21"/>
    </row>
    <row r="23" spans="1:21" ht="54.6" customHeight="1" x14ac:dyDescent="0.25">
      <c r="A23" s="18" t="s">
        <v>17</v>
      </c>
      <c r="B23" s="20" t="s">
        <v>14</v>
      </c>
      <c r="C23" s="84" t="s">
        <v>191</v>
      </c>
      <c r="D23" s="17"/>
      <c r="E23" s="17"/>
      <c r="F23" s="17"/>
      <c r="G23" s="17"/>
      <c r="H23" s="17"/>
      <c r="I23" s="17"/>
      <c r="J23" s="17"/>
      <c r="K23" s="17"/>
      <c r="L23" s="17"/>
      <c r="M23" s="17"/>
      <c r="N23" s="17"/>
      <c r="O23" s="17"/>
      <c r="P23" s="17"/>
      <c r="Q23" s="17"/>
      <c r="R23" s="17"/>
      <c r="S23" s="17"/>
      <c r="T23" s="17"/>
      <c r="U23" s="17"/>
    </row>
    <row r="24" spans="1:21" ht="63" customHeight="1" x14ac:dyDescent="0.25">
      <c r="A24" s="18" t="s">
        <v>16</v>
      </c>
      <c r="B24" s="20" t="s">
        <v>173</v>
      </c>
      <c r="C24" s="19" t="s">
        <v>461</v>
      </c>
      <c r="D24" s="17"/>
      <c r="E24" s="17"/>
      <c r="F24" s="17"/>
      <c r="G24" s="17"/>
      <c r="H24" s="17"/>
      <c r="I24" s="17"/>
      <c r="J24" s="17"/>
      <c r="K24" s="17"/>
      <c r="L24" s="17"/>
      <c r="M24" s="17"/>
      <c r="N24" s="17"/>
      <c r="O24" s="17"/>
      <c r="P24" s="17"/>
      <c r="Q24" s="17"/>
      <c r="R24" s="17"/>
      <c r="S24" s="17"/>
      <c r="T24" s="17"/>
      <c r="U24" s="17"/>
    </row>
    <row r="25" spans="1:21" ht="63" customHeight="1" x14ac:dyDescent="0.25">
      <c r="A25" s="18" t="s">
        <v>15</v>
      </c>
      <c r="B25" s="20" t="s">
        <v>174</v>
      </c>
      <c r="C25" s="19" t="s">
        <v>229</v>
      </c>
      <c r="D25" s="17"/>
      <c r="E25" s="17"/>
      <c r="F25" s="17"/>
      <c r="G25" s="17"/>
      <c r="H25" s="17"/>
      <c r="I25" s="17"/>
      <c r="J25" s="17"/>
      <c r="K25" s="17"/>
      <c r="L25" s="17"/>
      <c r="M25" s="17"/>
      <c r="N25" s="17"/>
      <c r="O25" s="17"/>
      <c r="P25" s="17"/>
      <c r="Q25" s="17"/>
      <c r="R25" s="17"/>
      <c r="S25" s="17"/>
      <c r="T25" s="17"/>
      <c r="U25" s="17"/>
    </row>
    <row r="26" spans="1:21" ht="42.75" customHeight="1" x14ac:dyDescent="0.25">
      <c r="A26" s="18" t="s">
        <v>13</v>
      </c>
      <c r="B26" s="20" t="s">
        <v>96</v>
      </c>
      <c r="C26" s="19" t="s">
        <v>192</v>
      </c>
      <c r="D26" s="17"/>
      <c r="E26" s="17"/>
      <c r="F26" s="17"/>
      <c r="G26" s="17"/>
      <c r="H26" s="17"/>
      <c r="I26" s="17"/>
      <c r="J26" s="17"/>
      <c r="K26" s="17"/>
      <c r="L26" s="17"/>
      <c r="M26" s="17"/>
      <c r="N26" s="17"/>
      <c r="O26" s="17"/>
      <c r="P26" s="17"/>
      <c r="Q26" s="17"/>
      <c r="R26" s="17"/>
      <c r="S26" s="17"/>
      <c r="T26" s="17"/>
      <c r="U26" s="17"/>
    </row>
    <row r="27" spans="1:21" ht="75" customHeight="1" x14ac:dyDescent="0.25">
      <c r="A27" s="18" t="s">
        <v>12</v>
      </c>
      <c r="B27" s="20" t="s">
        <v>169</v>
      </c>
      <c r="C27" s="85" t="s">
        <v>193</v>
      </c>
      <c r="D27" s="17"/>
      <c r="E27" s="17"/>
      <c r="F27" s="17"/>
      <c r="G27" s="17"/>
      <c r="H27" s="17"/>
      <c r="I27" s="17"/>
      <c r="J27" s="17"/>
      <c r="K27" s="17"/>
      <c r="L27" s="17"/>
      <c r="M27" s="17"/>
      <c r="N27" s="17"/>
      <c r="O27" s="17"/>
      <c r="P27" s="17"/>
      <c r="Q27" s="17"/>
      <c r="R27" s="17"/>
      <c r="S27" s="17"/>
      <c r="T27" s="17"/>
      <c r="U27" s="17"/>
    </row>
    <row r="28" spans="1:21" ht="42.75" customHeight="1" x14ac:dyDescent="0.25">
      <c r="A28" s="18" t="s">
        <v>10</v>
      </c>
      <c r="B28" s="20" t="s">
        <v>11</v>
      </c>
      <c r="C28" s="200">
        <f>VLOOKUP($A$12,'[1]6.2. отчет'!$D:$OP,399,0)</f>
        <v>2020</v>
      </c>
      <c r="D28" s="17"/>
      <c r="E28" s="17"/>
      <c r="F28" s="17"/>
      <c r="G28" s="17"/>
      <c r="H28" s="17"/>
      <c r="I28" s="17"/>
      <c r="J28" s="17"/>
      <c r="K28" s="17"/>
      <c r="L28" s="17"/>
      <c r="M28" s="17"/>
      <c r="N28" s="17"/>
      <c r="O28" s="17"/>
      <c r="P28" s="17"/>
      <c r="Q28" s="17"/>
      <c r="R28" s="17"/>
      <c r="S28" s="17"/>
      <c r="T28" s="17"/>
      <c r="U28" s="17"/>
    </row>
    <row r="29" spans="1:21" ht="42.75" customHeight="1" x14ac:dyDescent="0.25">
      <c r="A29" s="18" t="s">
        <v>8</v>
      </c>
      <c r="B29" s="19" t="s">
        <v>9</v>
      </c>
      <c r="C29" s="200">
        <f>VLOOKUP($A$12,'[1]6.2. отчет'!$D:$OP,402,0)</f>
        <v>2024</v>
      </c>
      <c r="D29" s="17"/>
      <c r="E29" s="17"/>
      <c r="F29" s="17"/>
      <c r="G29" s="17"/>
      <c r="H29" s="17"/>
      <c r="I29" s="17"/>
      <c r="J29" s="17"/>
      <c r="K29" s="17"/>
      <c r="L29" s="17"/>
      <c r="M29" s="17"/>
      <c r="N29" s="17"/>
      <c r="O29" s="17"/>
      <c r="P29" s="17"/>
      <c r="Q29" s="17"/>
      <c r="R29" s="17"/>
      <c r="S29" s="17"/>
      <c r="T29" s="17"/>
      <c r="U29" s="17"/>
    </row>
    <row r="30" spans="1:21" ht="42.75" customHeight="1" x14ac:dyDescent="0.25">
      <c r="A30" s="18" t="s">
        <v>26</v>
      </c>
      <c r="B30" s="19" t="s">
        <v>7</v>
      </c>
      <c r="C30" s="200" t="str">
        <f>VLOOKUP($A$12,'[1]6.2. отчет'!$D:$OP,403,0)</f>
        <v>з</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5" zoomScaleNormal="85" workbookViewId="0">
      <selection activeCell="A5" sqref="A5"/>
    </sheetView>
  </sheetViews>
  <sheetFormatPr defaultRowHeight="15" x14ac:dyDescent="0.25"/>
  <cols>
    <col min="2" max="2" width="31.7109375" customWidth="1"/>
    <col min="11" max="14" width="26.5703125" customWidth="1"/>
    <col min="26" max="26" width="20.85546875" customWidth="1"/>
  </cols>
  <sheetData>
    <row r="1" spans="1:28" ht="18.75" x14ac:dyDescent="0.25">
      <c r="Z1" s="33" t="s">
        <v>22</v>
      </c>
    </row>
    <row r="2" spans="1:28" ht="18.75" x14ac:dyDescent="0.3">
      <c r="Z2" s="13" t="s">
        <v>6</v>
      </c>
    </row>
    <row r="3" spans="1:28" s="158" customFormat="1" ht="18.75" x14ac:dyDescent="0.3">
      <c r="Z3" s="150" t="s">
        <v>21</v>
      </c>
    </row>
    <row r="4" spans="1:28" s="158" customFormat="1" ht="15.75" x14ac:dyDescent="0.25">
      <c r="A4" s="247" t="str">
        <f>'3.2. паспорт Техсостояние ЛЭП'!A5:AA5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5" spans="1:28" s="158" customFormat="1" x14ac:dyDescent="0.25"/>
    <row r="6" spans="1:28" s="158" customFormat="1" ht="18.75" x14ac:dyDescent="0.25">
      <c r="A6" s="248" t="s">
        <v>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09"/>
      <c r="AB6" s="109"/>
    </row>
    <row r="7" spans="1:28" s="158" customFormat="1"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09"/>
      <c r="AB7" s="109"/>
    </row>
    <row r="8" spans="1:28" s="158" customFormat="1" ht="15.75" x14ac:dyDescent="0.25">
      <c r="A8" s="249" t="s">
        <v>177</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12"/>
      <c r="AB8" s="112"/>
    </row>
    <row r="9" spans="1:28" s="158" customFormat="1" ht="15.75" x14ac:dyDescent="0.25">
      <c r="A9" s="250" t="s">
        <v>4</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14"/>
      <c r="AB9" s="114"/>
    </row>
    <row r="10" spans="1:28" s="158" customFormat="1"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09"/>
      <c r="AB10" s="109"/>
    </row>
    <row r="11" spans="1:28" s="158" customFormat="1" ht="15.75" x14ac:dyDescent="0.25">
      <c r="A11" s="249" t="str">
        <f>'1. паспорт местоположение'!A12:C12</f>
        <v>L_Che442_21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12"/>
      <c r="AB11" s="112"/>
    </row>
    <row r="12" spans="1:28" s="158" customFormat="1" ht="15.75" x14ac:dyDescent="0.25">
      <c r="A12" s="250" t="s">
        <v>3</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14"/>
      <c r="AB12" s="114"/>
    </row>
    <row r="13" spans="1:28" s="158" customFormat="1"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59"/>
      <c r="AB13" s="159"/>
    </row>
    <row r="14" spans="1:28" s="158" customFormat="1" ht="15.75" x14ac:dyDescent="0.25">
      <c r="A14" s="249" t="str">
        <f>'1. паспорт местоположение'!A15:C15</f>
        <v>Приобретение оборудования в рамках Программы подготовки к ОЗП 2020/2021 гг.</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12"/>
      <c r="AB14" s="112"/>
    </row>
    <row r="15" spans="1:28" s="158" customFormat="1" ht="15.75" x14ac:dyDescent="0.25">
      <c r="A15" s="250" t="s">
        <v>2</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14"/>
      <c r="AB15" s="114"/>
    </row>
    <row r="16" spans="1:28" s="158" customFormat="1"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60"/>
      <c r="AB16" s="160"/>
    </row>
    <row r="17" spans="1:28" s="158" customFormat="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60"/>
      <c r="AB17" s="160"/>
    </row>
    <row r="18" spans="1:28" s="158" customForma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60"/>
      <c r="AB18" s="160"/>
    </row>
    <row r="19" spans="1:28" s="158" customFormat="1"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60"/>
      <c r="AB19" s="160"/>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61"/>
      <c r="AB20" s="161"/>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61"/>
      <c r="AB21" s="161"/>
    </row>
    <row r="22" spans="1:28" ht="31.5" customHeight="1" x14ac:dyDescent="0.25">
      <c r="A22" s="298" t="s">
        <v>280</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62"/>
      <c r="AB22" s="162"/>
    </row>
    <row r="23" spans="1:28" ht="31.5" customHeight="1" x14ac:dyDescent="0.25">
      <c r="A23" s="293" t="s">
        <v>281</v>
      </c>
      <c r="B23" s="294"/>
      <c r="C23" s="294"/>
      <c r="D23" s="294"/>
      <c r="E23" s="294"/>
      <c r="F23" s="294"/>
      <c r="G23" s="294"/>
      <c r="H23" s="294"/>
      <c r="I23" s="294"/>
      <c r="J23" s="294"/>
      <c r="K23" s="294"/>
      <c r="L23" s="295"/>
      <c r="M23" s="296" t="s">
        <v>282</v>
      </c>
      <c r="N23" s="296"/>
      <c r="O23" s="296"/>
      <c r="P23" s="296"/>
      <c r="Q23" s="296"/>
      <c r="R23" s="296"/>
      <c r="S23" s="296"/>
      <c r="T23" s="296"/>
      <c r="U23" s="296"/>
      <c r="V23" s="296"/>
      <c r="W23" s="296"/>
      <c r="X23" s="296"/>
      <c r="Y23" s="296"/>
      <c r="Z23" s="296"/>
    </row>
    <row r="24" spans="1:28" ht="165" x14ac:dyDescent="0.25">
      <c r="A24" s="163" t="s">
        <v>283</v>
      </c>
      <c r="B24" s="164" t="s">
        <v>284</v>
      </c>
      <c r="C24" s="163" t="s">
        <v>285</v>
      </c>
      <c r="D24" s="163" t="s">
        <v>286</v>
      </c>
      <c r="E24" s="163" t="s">
        <v>287</v>
      </c>
      <c r="F24" s="163" t="s">
        <v>288</v>
      </c>
      <c r="G24" s="163" t="s">
        <v>289</v>
      </c>
      <c r="H24" s="163" t="s">
        <v>290</v>
      </c>
      <c r="I24" s="163" t="s">
        <v>291</v>
      </c>
      <c r="J24" s="163" t="s">
        <v>292</v>
      </c>
      <c r="K24" s="164" t="s">
        <v>293</v>
      </c>
      <c r="L24" s="164" t="s">
        <v>294</v>
      </c>
      <c r="M24" s="165" t="s">
        <v>295</v>
      </c>
      <c r="N24" s="164" t="s">
        <v>296</v>
      </c>
      <c r="O24" s="163" t="s">
        <v>297</v>
      </c>
      <c r="P24" s="163" t="s">
        <v>298</v>
      </c>
      <c r="Q24" s="163" t="s">
        <v>299</v>
      </c>
      <c r="R24" s="163" t="s">
        <v>290</v>
      </c>
      <c r="S24" s="163" t="s">
        <v>300</v>
      </c>
      <c r="T24" s="163" t="s">
        <v>301</v>
      </c>
      <c r="U24" s="163" t="s">
        <v>302</v>
      </c>
      <c r="V24" s="163" t="s">
        <v>299</v>
      </c>
      <c r="W24" s="166" t="s">
        <v>303</v>
      </c>
      <c r="X24" s="166" t="s">
        <v>304</v>
      </c>
      <c r="Y24" s="166" t="s">
        <v>305</v>
      </c>
      <c r="Z24" s="167" t="s">
        <v>306</v>
      </c>
    </row>
    <row r="25" spans="1:28" x14ac:dyDescent="0.25">
      <c r="A25" s="163">
        <v>1</v>
      </c>
      <c r="B25" s="164">
        <v>2</v>
      </c>
      <c r="C25" s="163">
        <v>3</v>
      </c>
      <c r="D25" s="164">
        <v>4</v>
      </c>
      <c r="E25" s="163">
        <v>5</v>
      </c>
      <c r="F25" s="164">
        <v>6</v>
      </c>
      <c r="G25" s="163">
        <v>7</v>
      </c>
      <c r="H25" s="164">
        <v>8</v>
      </c>
      <c r="I25" s="163">
        <v>9</v>
      </c>
      <c r="J25" s="164">
        <v>10</v>
      </c>
      <c r="K25" s="163">
        <v>11</v>
      </c>
      <c r="L25" s="164">
        <v>12</v>
      </c>
      <c r="M25" s="163">
        <v>13</v>
      </c>
      <c r="N25" s="164">
        <v>14</v>
      </c>
      <c r="O25" s="163">
        <v>15</v>
      </c>
      <c r="P25" s="164">
        <v>16</v>
      </c>
      <c r="Q25" s="163">
        <v>17</v>
      </c>
      <c r="R25" s="164">
        <v>18</v>
      </c>
      <c r="S25" s="163">
        <v>19</v>
      </c>
      <c r="T25" s="164">
        <v>20</v>
      </c>
      <c r="U25" s="163">
        <v>21</v>
      </c>
      <c r="V25" s="164">
        <v>22</v>
      </c>
      <c r="W25" s="163">
        <v>23</v>
      </c>
      <c r="X25" s="164">
        <v>24</v>
      </c>
      <c r="Y25" s="163">
        <v>25</v>
      </c>
      <c r="Z25" s="164">
        <v>26</v>
      </c>
    </row>
    <row r="26" spans="1:28" ht="60" x14ac:dyDescent="0.25">
      <c r="A26" s="168" t="s">
        <v>307</v>
      </c>
      <c r="B26" s="169"/>
      <c r="C26" s="170" t="s">
        <v>308</v>
      </c>
      <c r="D26" s="170" t="s">
        <v>309</v>
      </c>
      <c r="E26" s="170" t="s">
        <v>310</v>
      </c>
      <c r="F26" s="170" t="s">
        <v>311</v>
      </c>
      <c r="G26" s="170" t="s">
        <v>312</v>
      </c>
      <c r="H26" s="170" t="s">
        <v>290</v>
      </c>
      <c r="I26" s="170" t="s">
        <v>313</v>
      </c>
      <c r="J26" s="170" t="s">
        <v>314</v>
      </c>
      <c r="K26" s="171"/>
      <c r="L26" s="172" t="s">
        <v>315</v>
      </c>
      <c r="M26" s="173" t="s">
        <v>316</v>
      </c>
      <c r="N26" s="171" t="s">
        <v>229</v>
      </c>
      <c r="O26" s="171" t="s">
        <v>229</v>
      </c>
      <c r="P26" s="171" t="s">
        <v>229</v>
      </c>
      <c r="Q26" s="171" t="s">
        <v>229</v>
      </c>
      <c r="R26" s="171" t="s">
        <v>229</v>
      </c>
      <c r="S26" s="171" t="s">
        <v>229</v>
      </c>
      <c r="T26" s="171" t="s">
        <v>229</v>
      </c>
      <c r="U26" s="171" t="s">
        <v>229</v>
      </c>
      <c r="V26" s="171" t="s">
        <v>229</v>
      </c>
      <c r="W26" s="171" t="s">
        <v>229</v>
      </c>
      <c r="X26" s="171" t="s">
        <v>229</v>
      </c>
      <c r="Y26" s="171" t="s">
        <v>229</v>
      </c>
      <c r="Z26" s="174" t="s">
        <v>317</v>
      </c>
    </row>
    <row r="27" spans="1:28" x14ac:dyDescent="0.25">
      <c r="A27" s="171" t="s">
        <v>318</v>
      </c>
      <c r="B27" s="171" t="s">
        <v>319</v>
      </c>
      <c r="C27" s="171" t="s">
        <v>229</v>
      </c>
      <c r="D27" s="171" t="s">
        <v>229</v>
      </c>
      <c r="E27" s="171" t="s">
        <v>229</v>
      </c>
      <c r="F27" s="171" t="s">
        <v>229</v>
      </c>
      <c r="G27" s="171" t="s">
        <v>229</v>
      </c>
      <c r="H27" s="171" t="s">
        <v>229</v>
      </c>
      <c r="I27" s="171" t="s">
        <v>229</v>
      </c>
      <c r="J27" s="171" t="s">
        <v>229</v>
      </c>
      <c r="K27" s="172" t="s">
        <v>320</v>
      </c>
      <c r="L27" s="171" t="s">
        <v>229</v>
      </c>
      <c r="M27" s="172" t="s">
        <v>321</v>
      </c>
      <c r="N27" s="171" t="s">
        <v>229</v>
      </c>
      <c r="O27" s="171" t="s">
        <v>229</v>
      </c>
      <c r="P27" s="171" t="s">
        <v>229</v>
      </c>
      <c r="Q27" s="171" t="s">
        <v>229</v>
      </c>
      <c r="R27" s="171" t="s">
        <v>229</v>
      </c>
      <c r="S27" s="171" t="s">
        <v>229</v>
      </c>
      <c r="T27" s="171" t="s">
        <v>229</v>
      </c>
      <c r="U27" s="171" t="s">
        <v>229</v>
      </c>
      <c r="V27" s="171" t="s">
        <v>229</v>
      </c>
      <c r="W27" s="171" t="s">
        <v>229</v>
      </c>
      <c r="X27" s="171" t="s">
        <v>229</v>
      </c>
      <c r="Y27" s="171" t="s">
        <v>229</v>
      </c>
      <c r="Z27" s="171" t="s">
        <v>229</v>
      </c>
    </row>
    <row r="28" spans="1:28" x14ac:dyDescent="0.25">
      <c r="A28" s="171" t="s">
        <v>318</v>
      </c>
      <c r="B28" s="171" t="s">
        <v>322</v>
      </c>
      <c r="C28" s="171" t="s">
        <v>229</v>
      </c>
      <c r="D28" s="171" t="s">
        <v>229</v>
      </c>
      <c r="E28" s="171" t="s">
        <v>229</v>
      </c>
      <c r="F28" s="171" t="s">
        <v>229</v>
      </c>
      <c r="G28" s="171" t="s">
        <v>229</v>
      </c>
      <c r="H28" s="171" t="s">
        <v>229</v>
      </c>
      <c r="I28" s="171" t="s">
        <v>229</v>
      </c>
      <c r="J28" s="171" t="s">
        <v>229</v>
      </c>
      <c r="K28" s="172" t="s">
        <v>323</v>
      </c>
      <c r="L28" s="171" t="s">
        <v>229</v>
      </c>
      <c r="M28" s="172" t="s">
        <v>324</v>
      </c>
      <c r="N28" s="171" t="s">
        <v>229</v>
      </c>
      <c r="O28" s="171" t="s">
        <v>229</v>
      </c>
      <c r="P28" s="171" t="s">
        <v>229</v>
      </c>
      <c r="Q28" s="171" t="s">
        <v>229</v>
      </c>
      <c r="R28" s="171" t="s">
        <v>229</v>
      </c>
      <c r="S28" s="171" t="s">
        <v>229</v>
      </c>
      <c r="T28" s="171" t="s">
        <v>229</v>
      </c>
      <c r="U28" s="171" t="s">
        <v>229</v>
      </c>
      <c r="V28" s="171" t="s">
        <v>229</v>
      </c>
      <c r="W28" s="171" t="s">
        <v>229</v>
      </c>
      <c r="X28" s="171" t="s">
        <v>229</v>
      </c>
      <c r="Y28" s="171" t="s">
        <v>229</v>
      </c>
      <c r="Z28" s="171" t="s">
        <v>229</v>
      </c>
    </row>
    <row r="29" spans="1:28" x14ac:dyDescent="0.25">
      <c r="A29" s="171" t="s">
        <v>318</v>
      </c>
      <c r="B29" s="171" t="s">
        <v>325</v>
      </c>
      <c r="C29" s="171" t="s">
        <v>229</v>
      </c>
      <c r="D29" s="171" t="s">
        <v>229</v>
      </c>
      <c r="E29" s="171" t="s">
        <v>229</v>
      </c>
      <c r="F29" s="171" t="s">
        <v>229</v>
      </c>
      <c r="G29" s="171" t="s">
        <v>229</v>
      </c>
      <c r="H29" s="171" t="s">
        <v>229</v>
      </c>
      <c r="I29" s="171" t="s">
        <v>229</v>
      </c>
      <c r="J29" s="171" t="s">
        <v>229</v>
      </c>
      <c r="K29" s="172" t="s">
        <v>326</v>
      </c>
      <c r="L29" s="171" t="s">
        <v>229</v>
      </c>
      <c r="M29" s="171" t="s">
        <v>229</v>
      </c>
      <c r="N29" s="171" t="s">
        <v>229</v>
      </c>
      <c r="O29" s="171" t="s">
        <v>229</v>
      </c>
      <c r="P29" s="171" t="s">
        <v>229</v>
      </c>
      <c r="Q29" s="171" t="s">
        <v>229</v>
      </c>
      <c r="R29" s="171" t="s">
        <v>229</v>
      </c>
      <c r="S29" s="171" t="s">
        <v>229</v>
      </c>
      <c r="T29" s="171" t="s">
        <v>229</v>
      </c>
      <c r="U29" s="171" t="s">
        <v>229</v>
      </c>
      <c r="V29" s="171" t="s">
        <v>229</v>
      </c>
      <c r="W29" s="171" t="s">
        <v>229</v>
      </c>
      <c r="X29" s="171" t="s">
        <v>229</v>
      </c>
      <c r="Y29" s="171" t="s">
        <v>229</v>
      </c>
      <c r="Z29" s="171" t="s">
        <v>229</v>
      </c>
    </row>
    <row r="30" spans="1:28" x14ac:dyDescent="0.25">
      <c r="A30" s="171" t="s">
        <v>318</v>
      </c>
      <c r="B30" s="171" t="s">
        <v>327</v>
      </c>
      <c r="C30" s="171" t="s">
        <v>229</v>
      </c>
      <c r="D30" s="171" t="s">
        <v>229</v>
      </c>
      <c r="E30" s="171" t="s">
        <v>229</v>
      </c>
      <c r="F30" s="171" t="s">
        <v>229</v>
      </c>
      <c r="G30" s="171" t="s">
        <v>229</v>
      </c>
      <c r="H30" s="171" t="s">
        <v>229</v>
      </c>
      <c r="I30" s="171" t="s">
        <v>229</v>
      </c>
      <c r="J30" s="171" t="s">
        <v>229</v>
      </c>
      <c r="K30" s="172" t="s">
        <v>328</v>
      </c>
      <c r="L30" s="171" t="s">
        <v>229</v>
      </c>
      <c r="M30" s="171" t="s">
        <v>229</v>
      </c>
      <c r="N30" s="171" t="s">
        <v>229</v>
      </c>
      <c r="O30" s="171" t="s">
        <v>229</v>
      </c>
      <c r="P30" s="171" t="s">
        <v>229</v>
      </c>
      <c r="Q30" s="171" t="s">
        <v>229</v>
      </c>
      <c r="R30" s="171" t="s">
        <v>229</v>
      </c>
      <c r="S30" s="171" t="s">
        <v>229</v>
      </c>
      <c r="T30" s="171" t="s">
        <v>229</v>
      </c>
      <c r="U30" s="171" t="s">
        <v>229</v>
      </c>
      <c r="V30" s="171" t="s">
        <v>229</v>
      </c>
      <c r="W30" s="171" t="s">
        <v>229</v>
      </c>
      <c r="X30" s="171" t="s">
        <v>229</v>
      </c>
      <c r="Y30" s="171" t="s">
        <v>229</v>
      </c>
      <c r="Z30" s="171" t="s">
        <v>229</v>
      </c>
    </row>
    <row r="31" spans="1:28" x14ac:dyDescent="0.25">
      <c r="A31" s="171" t="s">
        <v>324</v>
      </c>
      <c r="B31" s="171" t="s">
        <v>324</v>
      </c>
      <c r="C31" s="171" t="s">
        <v>324</v>
      </c>
      <c r="D31" s="171" t="s">
        <v>324</v>
      </c>
      <c r="E31" s="171" t="s">
        <v>324</v>
      </c>
      <c r="F31" s="171" t="s">
        <v>324</v>
      </c>
      <c r="G31" s="171" t="s">
        <v>324</v>
      </c>
      <c r="H31" s="171" t="s">
        <v>324</v>
      </c>
      <c r="I31" s="171" t="s">
        <v>324</v>
      </c>
      <c r="J31" s="171" t="s">
        <v>324</v>
      </c>
      <c r="K31" s="171" t="s">
        <v>324</v>
      </c>
      <c r="L31" s="171" t="s">
        <v>229</v>
      </c>
      <c r="M31" s="171" t="s">
        <v>229</v>
      </c>
      <c r="N31" s="171" t="s">
        <v>229</v>
      </c>
      <c r="O31" s="171" t="s">
        <v>229</v>
      </c>
      <c r="P31" s="171" t="s">
        <v>229</v>
      </c>
      <c r="Q31" s="171" t="s">
        <v>229</v>
      </c>
      <c r="R31" s="171" t="s">
        <v>229</v>
      </c>
      <c r="S31" s="171" t="s">
        <v>229</v>
      </c>
      <c r="T31" s="171" t="s">
        <v>229</v>
      </c>
      <c r="U31" s="171" t="s">
        <v>229</v>
      </c>
      <c r="V31" s="171" t="s">
        <v>229</v>
      </c>
      <c r="W31" s="171" t="s">
        <v>229</v>
      </c>
      <c r="X31" s="171" t="s">
        <v>229</v>
      </c>
      <c r="Y31" s="171" t="s">
        <v>229</v>
      </c>
      <c r="Z31" s="171" t="s">
        <v>229</v>
      </c>
    </row>
    <row r="32" spans="1:28" ht="60" x14ac:dyDescent="0.25">
      <c r="A32" s="169" t="s">
        <v>307</v>
      </c>
      <c r="B32" s="169"/>
      <c r="C32" s="170" t="s">
        <v>329</v>
      </c>
      <c r="D32" s="170" t="s">
        <v>330</v>
      </c>
      <c r="E32" s="170" t="s">
        <v>331</v>
      </c>
      <c r="F32" s="170" t="s">
        <v>332</v>
      </c>
      <c r="G32" s="170" t="s">
        <v>333</v>
      </c>
      <c r="H32" s="170" t="s">
        <v>290</v>
      </c>
      <c r="I32" s="170" t="s">
        <v>334</v>
      </c>
      <c r="J32" s="170" t="s">
        <v>335</v>
      </c>
      <c r="K32" s="171"/>
      <c r="L32" s="171" t="s">
        <v>229</v>
      </c>
      <c r="M32" s="171" t="s">
        <v>229</v>
      </c>
      <c r="N32" s="171" t="s">
        <v>229</v>
      </c>
      <c r="O32" s="171" t="s">
        <v>229</v>
      </c>
      <c r="P32" s="171" t="s">
        <v>229</v>
      </c>
      <c r="Q32" s="171" t="s">
        <v>229</v>
      </c>
      <c r="R32" s="171" t="s">
        <v>229</v>
      </c>
      <c r="S32" s="171" t="s">
        <v>229</v>
      </c>
      <c r="T32" s="171" t="s">
        <v>229</v>
      </c>
      <c r="U32" s="171" t="s">
        <v>229</v>
      </c>
      <c r="V32" s="171" t="s">
        <v>229</v>
      </c>
      <c r="W32" s="171" t="s">
        <v>229</v>
      </c>
      <c r="X32" s="171" t="s">
        <v>229</v>
      </c>
      <c r="Y32" s="171" t="s">
        <v>229</v>
      </c>
      <c r="Z32" s="171" t="s">
        <v>229</v>
      </c>
    </row>
    <row r="33" spans="1:26" x14ac:dyDescent="0.25">
      <c r="A33" s="171" t="s">
        <v>324</v>
      </c>
      <c r="B33" s="171" t="s">
        <v>324</v>
      </c>
      <c r="C33" s="171" t="s">
        <v>324</v>
      </c>
      <c r="D33" s="171" t="s">
        <v>324</v>
      </c>
      <c r="E33" s="171" t="s">
        <v>324</v>
      </c>
      <c r="F33" s="171" t="s">
        <v>324</v>
      </c>
      <c r="G33" s="171" t="s">
        <v>324</v>
      </c>
      <c r="H33" s="171" t="s">
        <v>324</v>
      </c>
      <c r="I33" s="171" t="s">
        <v>324</v>
      </c>
      <c r="J33" s="171" t="s">
        <v>324</v>
      </c>
      <c r="K33" s="171" t="s">
        <v>324</v>
      </c>
      <c r="L33" s="171" t="s">
        <v>229</v>
      </c>
      <c r="M33" s="171" t="s">
        <v>229</v>
      </c>
      <c r="N33" s="171" t="s">
        <v>229</v>
      </c>
      <c r="O33" s="171" t="s">
        <v>229</v>
      </c>
      <c r="P33" s="171" t="s">
        <v>229</v>
      </c>
      <c r="Q33" s="171" t="s">
        <v>229</v>
      </c>
      <c r="R33" s="171" t="s">
        <v>229</v>
      </c>
      <c r="S33" s="171" t="s">
        <v>229</v>
      </c>
      <c r="T33" s="171" t="s">
        <v>229</v>
      </c>
      <c r="U33" s="171" t="s">
        <v>229</v>
      </c>
      <c r="V33" s="171" t="s">
        <v>229</v>
      </c>
      <c r="W33" s="171" t="s">
        <v>229</v>
      </c>
      <c r="X33" s="171" t="s">
        <v>229</v>
      </c>
      <c r="Y33" s="171" t="s">
        <v>229</v>
      </c>
      <c r="Z33" s="171" t="s">
        <v>229</v>
      </c>
    </row>
    <row r="37" spans="1:26" x14ac:dyDescent="0.25">
      <c r="A37" s="175"/>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70" zoomScaleNormal="70" workbookViewId="0">
      <selection activeCell="A6" sqref="A6"/>
    </sheetView>
  </sheetViews>
  <sheetFormatPr defaultColWidth="9.140625" defaultRowHeight="15" x14ac:dyDescent="0.25"/>
  <cols>
    <col min="1" max="16384" width="9.140625" style="1"/>
  </cols>
  <sheetData>
    <row r="1" spans="1:28" s="106" customFormat="1" ht="18.75" x14ac:dyDescent="0.2">
      <c r="A1" s="16"/>
      <c r="B1" s="16"/>
      <c r="O1" s="33" t="s">
        <v>22</v>
      </c>
    </row>
    <row r="2" spans="1:28" s="106" customFormat="1" ht="18.75" x14ac:dyDescent="0.3">
      <c r="A2" s="16"/>
      <c r="B2" s="16"/>
      <c r="O2" s="13" t="s">
        <v>6</v>
      </c>
    </row>
    <row r="3" spans="1:28" s="106" customFormat="1" ht="18.75" x14ac:dyDescent="0.3">
      <c r="A3" s="139"/>
      <c r="B3" s="139"/>
      <c r="O3" s="13" t="s">
        <v>21</v>
      </c>
    </row>
    <row r="4" spans="1:28" s="107" customFormat="1" ht="18.75" x14ac:dyDescent="0.3">
      <c r="A4" s="108"/>
      <c r="B4" s="108"/>
      <c r="L4" s="150"/>
    </row>
    <row r="5" spans="1:28" s="107" customFormat="1" ht="15.75" x14ac:dyDescent="0.2">
      <c r="A5" s="247" t="str">
        <f>'3.3 паспорт описание'!A5:C5</f>
        <v>Год раскрытия информации: 2021 год</v>
      </c>
      <c r="B5" s="247"/>
      <c r="C5" s="247"/>
      <c r="D5" s="247"/>
      <c r="E5" s="247"/>
      <c r="F5" s="247"/>
      <c r="G5" s="247"/>
      <c r="H5" s="247"/>
      <c r="I5" s="247"/>
      <c r="J5" s="247"/>
      <c r="K5" s="247"/>
      <c r="L5" s="247"/>
      <c r="M5" s="247"/>
      <c r="N5" s="247"/>
      <c r="O5" s="247"/>
      <c r="P5" s="151"/>
      <c r="Q5" s="151"/>
      <c r="R5" s="151"/>
      <c r="S5" s="151"/>
      <c r="T5" s="151"/>
      <c r="U5" s="151"/>
      <c r="V5" s="151"/>
      <c r="W5" s="151"/>
      <c r="X5" s="151"/>
      <c r="Y5" s="151"/>
      <c r="Z5" s="151"/>
      <c r="AA5" s="151"/>
      <c r="AB5" s="151"/>
    </row>
    <row r="6" spans="1:28" s="107" customFormat="1" ht="18.75" x14ac:dyDescent="0.3">
      <c r="A6" s="108"/>
      <c r="B6" s="108"/>
      <c r="L6" s="150"/>
    </row>
    <row r="7" spans="1:28" s="107" customFormat="1" ht="18.75" x14ac:dyDescent="0.2">
      <c r="A7" s="248" t="s">
        <v>5</v>
      </c>
      <c r="B7" s="248"/>
      <c r="C7" s="248"/>
      <c r="D7" s="248"/>
      <c r="E7" s="248"/>
      <c r="F7" s="248"/>
      <c r="G7" s="248"/>
      <c r="H7" s="248"/>
      <c r="I7" s="248"/>
      <c r="J7" s="248"/>
      <c r="K7" s="248"/>
      <c r="L7" s="248"/>
      <c r="M7" s="248"/>
      <c r="N7" s="248"/>
      <c r="O7" s="248"/>
      <c r="P7" s="109"/>
      <c r="Q7" s="109"/>
      <c r="R7" s="109"/>
      <c r="S7" s="109"/>
      <c r="T7" s="109"/>
      <c r="U7" s="109"/>
      <c r="V7" s="109"/>
      <c r="W7" s="109"/>
      <c r="X7" s="109"/>
      <c r="Y7" s="109"/>
      <c r="Z7" s="109"/>
    </row>
    <row r="8" spans="1:28" s="107" customFormat="1" ht="18.75" x14ac:dyDescent="0.2">
      <c r="A8" s="248"/>
      <c r="B8" s="248"/>
      <c r="C8" s="248"/>
      <c r="D8" s="248"/>
      <c r="E8" s="248"/>
      <c r="F8" s="248"/>
      <c r="G8" s="248"/>
      <c r="H8" s="248"/>
      <c r="I8" s="248"/>
      <c r="J8" s="248"/>
      <c r="K8" s="248"/>
      <c r="L8" s="248"/>
      <c r="M8" s="248"/>
      <c r="N8" s="248"/>
      <c r="O8" s="248"/>
      <c r="P8" s="109"/>
      <c r="Q8" s="109"/>
      <c r="R8" s="109"/>
      <c r="S8" s="109"/>
      <c r="T8" s="109"/>
      <c r="U8" s="109"/>
      <c r="V8" s="109"/>
      <c r="W8" s="109"/>
      <c r="X8" s="109"/>
      <c r="Y8" s="109"/>
      <c r="Z8" s="109"/>
    </row>
    <row r="9" spans="1:28" s="107" customFormat="1" ht="18.75" x14ac:dyDescent="0.2">
      <c r="A9" s="249" t="s">
        <v>177</v>
      </c>
      <c r="B9" s="249"/>
      <c r="C9" s="249"/>
      <c r="D9" s="249"/>
      <c r="E9" s="249"/>
      <c r="F9" s="249"/>
      <c r="G9" s="249"/>
      <c r="H9" s="249"/>
      <c r="I9" s="249"/>
      <c r="J9" s="249"/>
      <c r="K9" s="249"/>
      <c r="L9" s="249"/>
      <c r="M9" s="249"/>
      <c r="N9" s="249"/>
      <c r="O9" s="249"/>
      <c r="P9" s="109"/>
      <c r="Q9" s="109"/>
      <c r="R9" s="109"/>
      <c r="S9" s="109"/>
      <c r="T9" s="109"/>
      <c r="U9" s="109"/>
      <c r="V9" s="109"/>
      <c r="W9" s="109"/>
      <c r="X9" s="109"/>
      <c r="Y9" s="109"/>
      <c r="Z9" s="109"/>
    </row>
    <row r="10" spans="1:28" s="107" customFormat="1" ht="18.75" x14ac:dyDescent="0.2">
      <c r="A10" s="250" t="s">
        <v>4</v>
      </c>
      <c r="B10" s="250"/>
      <c r="C10" s="250"/>
      <c r="D10" s="250"/>
      <c r="E10" s="250"/>
      <c r="F10" s="250"/>
      <c r="G10" s="250"/>
      <c r="H10" s="250"/>
      <c r="I10" s="250"/>
      <c r="J10" s="250"/>
      <c r="K10" s="250"/>
      <c r="L10" s="250"/>
      <c r="M10" s="250"/>
      <c r="N10" s="250"/>
      <c r="O10" s="250"/>
      <c r="P10" s="109"/>
      <c r="Q10" s="109"/>
      <c r="R10" s="109"/>
      <c r="S10" s="109"/>
      <c r="T10" s="109"/>
      <c r="U10" s="109"/>
      <c r="V10" s="109"/>
      <c r="W10" s="109"/>
      <c r="X10" s="109"/>
      <c r="Y10" s="109"/>
      <c r="Z10" s="109"/>
    </row>
    <row r="11" spans="1:28" s="107" customFormat="1" ht="18.75" x14ac:dyDescent="0.2">
      <c r="A11" s="248"/>
      <c r="B11" s="248"/>
      <c r="C11" s="248"/>
      <c r="D11" s="248"/>
      <c r="E11" s="248"/>
      <c r="F11" s="248"/>
      <c r="G11" s="248"/>
      <c r="H11" s="248"/>
      <c r="I11" s="248"/>
      <c r="J11" s="248"/>
      <c r="K11" s="248"/>
      <c r="L11" s="248"/>
      <c r="M11" s="248"/>
      <c r="N11" s="248"/>
      <c r="O11" s="248"/>
      <c r="P11" s="109"/>
      <c r="Q11" s="109"/>
      <c r="R11" s="109"/>
      <c r="S11" s="109"/>
      <c r="T11" s="109"/>
      <c r="U11" s="109"/>
      <c r="V11" s="109"/>
      <c r="W11" s="109"/>
      <c r="X11" s="109"/>
      <c r="Y11" s="109"/>
      <c r="Z11" s="109"/>
    </row>
    <row r="12" spans="1:28" s="107" customFormat="1" ht="18.75" x14ac:dyDescent="0.2">
      <c r="A12" s="249" t="str">
        <f>'3.4. Паспорт надежность'!A11:Z11</f>
        <v>L_Che442_21</v>
      </c>
      <c r="B12" s="249"/>
      <c r="C12" s="249"/>
      <c r="D12" s="249"/>
      <c r="E12" s="249"/>
      <c r="F12" s="249"/>
      <c r="G12" s="249"/>
      <c r="H12" s="249"/>
      <c r="I12" s="249"/>
      <c r="J12" s="249"/>
      <c r="K12" s="249"/>
      <c r="L12" s="249"/>
      <c r="M12" s="249"/>
      <c r="N12" s="249"/>
      <c r="O12" s="249"/>
      <c r="P12" s="109"/>
      <c r="Q12" s="109"/>
      <c r="R12" s="109"/>
      <c r="S12" s="109"/>
      <c r="T12" s="109"/>
      <c r="U12" s="109"/>
      <c r="V12" s="109"/>
      <c r="W12" s="109"/>
      <c r="X12" s="109"/>
      <c r="Y12" s="109"/>
      <c r="Z12" s="109"/>
    </row>
    <row r="13" spans="1:28" s="107" customFormat="1" ht="18.75" x14ac:dyDescent="0.2">
      <c r="A13" s="250" t="s">
        <v>3</v>
      </c>
      <c r="B13" s="250"/>
      <c r="C13" s="250"/>
      <c r="D13" s="250"/>
      <c r="E13" s="250"/>
      <c r="F13" s="250"/>
      <c r="G13" s="250"/>
      <c r="H13" s="250"/>
      <c r="I13" s="250"/>
      <c r="J13" s="250"/>
      <c r="K13" s="250"/>
      <c r="L13" s="250"/>
      <c r="M13" s="250"/>
      <c r="N13" s="250"/>
      <c r="O13" s="250"/>
      <c r="P13" s="109"/>
      <c r="Q13" s="109"/>
      <c r="R13" s="109"/>
      <c r="S13" s="109"/>
      <c r="T13" s="109"/>
      <c r="U13" s="109"/>
      <c r="V13" s="109"/>
      <c r="W13" s="109"/>
      <c r="X13" s="109"/>
      <c r="Y13" s="109"/>
      <c r="Z13" s="109"/>
    </row>
    <row r="14" spans="1:28" s="111" customFormat="1" ht="18.75" x14ac:dyDescent="0.2">
      <c r="A14" s="252"/>
      <c r="B14" s="252"/>
      <c r="C14" s="252"/>
      <c r="D14" s="252"/>
      <c r="E14" s="252"/>
      <c r="F14" s="252"/>
      <c r="G14" s="252"/>
      <c r="H14" s="252"/>
      <c r="I14" s="252"/>
      <c r="J14" s="252"/>
      <c r="K14" s="252"/>
      <c r="L14" s="252"/>
      <c r="M14" s="252"/>
      <c r="N14" s="252"/>
      <c r="O14" s="252"/>
      <c r="P14" s="110"/>
      <c r="Q14" s="110"/>
      <c r="R14" s="110"/>
      <c r="S14" s="110"/>
      <c r="T14" s="110"/>
      <c r="U14" s="110"/>
      <c r="V14" s="110"/>
      <c r="W14" s="110"/>
      <c r="X14" s="110"/>
      <c r="Y14" s="110"/>
      <c r="Z14" s="110"/>
    </row>
    <row r="15" spans="1:28" s="113" customFormat="1" ht="15.75" x14ac:dyDescent="0.2">
      <c r="A15" s="299" t="str">
        <f>'3.4. Паспорт надежность'!A14:Z14</f>
        <v>Приобретение оборудования в рамках Программы подготовки к ОЗП 2020/2021 гг.</v>
      </c>
      <c r="B15" s="249"/>
      <c r="C15" s="249"/>
      <c r="D15" s="249"/>
      <c r="E15" s="249"/>
      <c r="F15" s="249"/>
      <c r="G15" s="249"/>
      <c r="H15" s="249"/>
      <c r="I15" s="249"/>
      <c r="J15" s="249"/>
      <c r="K15" s="249"/>
      <c r="L15" s="249"/>
      <c r="M15" s="249"/>
      <c r="N15" s="249"/>
      <c r="O15" s="249"/>
      <c r="P15" s="112"/>
      <c r="Q15" s="112"/>
      <c r="R15" s="112"/>
      <c r="S15" s="112"/>
      <c r="T15" s="112"/>
      <c r="U15" s="112"/>
      <c r="V15" s="112"/>
      <c r="W15" s="112"/>
      <c r="X15" s="112"/>
      <c r="Y15" s="112"/>
      <c r="Z15" s="112"/>
    </row>
    <row r="16" spans="1:28" s="113" customFormat="1" ht="15.75" x14ac:dyDescent="0.2">
      <c r="A16" s="250" t="s">
        <v>2</v>
      </c>
      <c r="B16" s="250"/>
      <c r="C16" s="250"/>
      <c r="D16" s="250"/>
      <c r="E16" s="250"/>
      <c r="F16" s="250"/>
      <c r="G16" s="250"/>
      <c r="H16" s="250"/>
      <c r="I16" s="250"/>
      <c r="J16" s="250"/>
      <c r="K16" s="250"/>
      <c r="L16" s="250"/>
      <c r="M16" s="250"/>
      <c r="N16" s="250"/>
      <c r="O16" s="250"/>
      <c r="P16" s="114"/>
      <c r="Q16" s="114"/>
      <c r="R16" s="114"/>
      <c r="S16" s="114"/>
      <c r="T16" s="114"/>
      <c r="U16" s="114"/>
      <c r="V16" s="114"/>
      <c r="W16" s="114"/>
      <c r="X16" s="114"/>
      <c r="Y16" s="114"/>
      <c r="Z16" s="114"/>
    </row>
    <row r="17" spans="1:26" s="113" customFormat="1" ht="18.75" x14ac:dyDescent="0.2">
      <c r="A17" s="253"/>
      <c r="B17" s="253"/>
      <c r="C17" s="253"/>
      <c r="D17" s="253"/>
      <c r="E17" s="253"/>
      <c r="F17" s="253"/>
      <c r="G17" s="253"/>
      <c r="H17" s="253"/>
      <c r="I17" s="253"/>
      <c r="J17" s="253"/>
      <c r="K17" s="253"/>
      <c r="L17" s="253"/>
      <c r="M17" s="253"/>
      <c r="N17" s="253"/>
      <c r="O17" s="253"/>
      <c r="P17" s="115"/>
      <c r="Q17" s="115"/>
      <c r="R17" s="115"/>
      <c r="S17" s="115"/>
      <c r="T17" s="115"/>
      <c r="U17" s="115"/>
      <c r="V17" s="115"/>
      <c r="W17" s="115"/>
    </row>
    <row r="18" spans="1:26" s="113" customFormat="1" ht="18.75" x14ac:dyDescent="0.2">
      <c r="A18" s="300" t="s">
        <v>263</v>
      </c>
      <c r="B18" s="300"/>
      <c r="C18" s="300"/>
      <c r="D18" s="300"/>
      <c r="E18" s="300"/>
      <c r="F18" s="300"/>
      <c r="G18" s="300"/>
      <c r="H18" s="300"/>
      <c r="I18" s="300"/>
      <c r="J18" s="300"/>
      <c r="K18" s="300"/>
      <c r="L18" s="300"/>
      <c r="M18" s="300"/>
      <c r="N18" s="300"/>
      <c r="O18" s="300"/>
      <c r="P18" s="152"/>
      <c r="Q18" s="152"/>
      <c r="R18" s="152"/>
      <c r="S18" s="152"/>
      <c r="T18" s="152"/>
      <c r="U18" s="152"/>
      <c r="V18" s="152"/>
      <c r="W18" s="152"/>
      <c r="X18" s="152"/>
      <c r="Y18" s="152"/>
      <c r="Z18" s="152"/>
    </row>
    <row r="19" spans="1:26" s="117" customFormat="1" ht="52.5" customHeight="1" x14ac:dyDescent="0.2">
      <c r="A19" s="251" t="s">
        <v>1</v>
      </c>
      <c r="B19" s="251" t="s">
        <v>264</v>
      </c>
      <c r="C19" s="251" t="s">
        <v>265</v>
      </c>
      <c r="D19" s="251" t="s">
        <v>266</v>
      </c>
      <c r="E19" s="301" t="s">
        <v>267</v>
      </c>
      <c r="F19" s="302"/>
      <c r="G19" s="302"/>
      <c r="H19" s="302"/>
      <c r="I19" s="303"/>
      <c r="J19" s="251" t="s">
        <v>268</v>
      </c>
      <c r="K19" s="251"/>
      <c r="L19" s="251"/>
      <c r="M19" s="251"/>
      <c r="N19" s="251"/>
      <c r="O19" s="251"/>
      <c r="P19" s="118"/>
      <c r="Q19" s="118"/>
      <c r="R19" s="118"/>
      <c r="S19" s="118"/>
      <c r="T19" s="118"/>
      <c r="U19" s="118"/>
      <c r="V19" s="118"/>
      <c r="W19" s="118"/>
    </row>
    <row r="20" spans="1:26" s="117" customFormat="1" ht="147.75" customHeight="1" x14ac:dyDescent="0.2">
      <c r="A20" s="251"/>
      <c r="B20" s="251"/>
      <c r="C20" s="251"/>
      <c r="D20" s="251"/>
      <c r="E20" s="119" t="s">
        <v>269</v>
      </c>
      <c r="F20" s="119" t="s">
        <v>270</v>
      </c>
      <c r="G20" s="119" t="s">
        <v>271</v>
      </c>
      <c r="H20" s="119" t="s">
        <v>272</v>
      </c>
      <c r="I20" s="119" t="s">
        <v>273</v>
      </c>
      <c r="J20" s="119" t="s">
        <v>274</v>
      </c>
      <c r="K20" s="119" t="s">
        <v>275</v>
      </c>
      <c r="L20" s="153" t="s">
        <v>276</v>
      </c>
      <c r="M20" s="154" t="s">
        <v>277</v>
      </c>
      <c r="N20" s="154" t="s">
        <v>278</v>
      </c>
      <c r="O20" s="154" t="s">
        <v>279</v>
      </c>
      <c r="P20" s="121"/>
      <c r="Q20" s="121"/>
      <c r="R20" s="121"/>
      <c r="S20" s="121"/>
      <c r="T20" s="121"/>
      <c r="U20" s="121"/>
      <c r="V20" s="121"/>
      <c r="W20" s="121"/>
      <c r="X20" s="122"/>
      <c r="Y20" s="122"/>
      <c r="Z20" s="122"/>
    </row>
    <row r="21" spans="1:26" s="117" customFormat="1" ht="18.75" x14ac:dyDescent="0.2">
      <c r="A21" s="155">
        <v>1</v>
      </c>
      <c r="B21" s="156">
        <v>2</v>
      </c>
      <c r="C21" s="155">
        <v>3</v>
      </c>
      <c r="D21" s="156">
        <v>4</v>
      </c>
      <c r="E21" s="155">
        <v>5</v>
      </c>
      <c r="F21" s="156">
        <v>6</v>
      </c>
      <c r="G21" s="155">
        <v>7</v>
      </c>
      <c r="H21" s="156">
        <v>8</v>
      </c>
      <c r="I21" s="155">
        <v>9</v>
      </c>
      <c r="J21" s="156">
        <v>10</v>
      </c>
      <c r="K21" s="155">
        <v>11</v>
      </c>
      <c r="L21" s="156">
        <v>12</v>
      </c>
      <c r="M21" s="155">
        <v>13</v>
      </c>
      <c r="N21" s="156">
        <v>14</v>
      </c>
      <c r="O21" s="155">
        <v>15</v>
      </c>
      <c r="P21" s="121"/>
      <c r="Q21" s="121"/>
      <c r="R21" s="121"/>
      <c r="S21" s="121"/>
      <c r="T21" s="121"/>
      <c r="U21" s="121"/>
      <c r="V21" s="121"/>
      <c r="W21" s="121"/>
      <c r="X21" s="122"/>
      <c r="Y21" s="122"/>
      <c r="Z21" s="122"/>
    </row>
    <row r="22" spans="1:26" s="117" customFormat="1" ht="18.75" x14ac:dyDescent="0.2">
      <c r="A22" s="157" t="s">
        <v>229</v>
      </c>
      <c r="B22" s="157" t="s">
        <v>229</v>
      </c>
      <c r="C22" s="157" t="s">
        <v>229</v>
      </c>
      <c r="D22" s="157" t="s">
        <v>229</v>
      </c>
      <c r="E22" s="157" t="s">
        <v>229</v>
      </c>
      <c r="F22" s="157" t="s">
        <v>229</v>
      </c>
      <c r="G22" s="157" t="s">
        <v>229</v>
      </c>
      <c r="H22" s="157" t="s">
        <v>229</v>
      </c>
      <c r="I22" s="157" t="s">
        <v>229</v>
      </c>
      <c r="J22" s="157" t="s">
        <v>229</v>
      </c>
      <c r="K22" s="157" t="s">
        <v>229</v>
      </c>
      <c r="L22" s="157" t="s">
        <v>229</v>
      </c>
      <c r="M22" s="157" t="s">
        <v>229</v>
      </c>
      <c r="N22" s="157" t="s">
        <v>229</v>
      </c>
      <c r="O22" s="157" t="s">
        <v>229</v>
      </c>
      <c r="P22" s="121"/>
      <c r="Q22" s="121"/>
      <c r="R22" s="121"/>
      <c r="S22" s="121"/>
      <c r="T22" s="121"/>
      <c r="U22" s="121"/>
      <c r="V22" s="122"/>
      <c r="W22" s="122"/>
      <c r="X22" s="122"/>
      <c r="Y22" s="122"/>
      <c r="Z22" s="122"/>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zoomScale="80" zoomScaleNormal="80" workbookViewId="0">
      <selection activeCell="A6" sqref="A6"/>
    </sheetView>
  </sheetViews>
  <sheetFormatPr defaultRowHeight="15" x14ac:dyDescent="0.25"/>
  <cols>
    <col min="1" max="1" width="9.140625" style="81"/>
    <col min="2" max="2" width="29.42578125" style="81" customWidth="1"/>
    <col min="3" max="3" width="25.140625" style="81" customWidth="1"/>
    <col min="4" max="4" width="20.7109375" style="81" customWidth="1"/>
    <col min="5" max="5" width="23.28515625" style="81" customWidth="1"/>
    <col min="6" max="6" width="58.7109375" style="81" customWidth="1"/>
  </cols>
  <sheetData>
    <row r="1" spans="1:6" ht="18.75" x14ac:dyDescent="0.25">
      <c r="A1" s="88"/>
      <c r="B1" s="14"/>
      <c r="C1" s="14"/>
      <c r="D1" s="14"/>
      <c r="E1" s="14"/>
      <c r="F1" s="89" t="s">
        <v>22</v>
      </c>
    </row>
    <row r="2" spans="1:6" ht="18.75" x14ac:dyDescent="0.3">
      <c r="A2" s="88"/>
      <c r="B2" s="14"/>
      <c r="C2" s="14"/>
      <c r="D2" s="14"/>
      <c r="E2" s="14"/>
      <c r="F2" s="90" t="s">
        <v>6</v>
      </c>
    </row>
    <row r="3" spans="1:6" ht="18.75" x14ac:dyDescent="0.3">
      <c r="A3" s="86"/>
      <c r="B3" s="14"/>
      <c r="C3" s="14"/>
      <c r="D3" s="14"/>
      <c r="E3" s="14"/>
      <c r="F3" s="90" t="s">
        <v>21</v>
      </c>
    </row>
    <row r="4" spans="1:6" ht="15.75" x14ac:dyDescent="0.25">
      <c r="A4" s="86"/>
      <c r="B4" s="14"/>
      <c r="C4" s="14"/>
      <c r="D4" s="14"/>
      <c r="E4" s="14"/>
      <c r="F4" s="14"/>
    </row>
    <row r="5" spans="1:6" ht="18.75" x14ac:dyDescent="0.25">
      <c r="A5" s="304" t="str">
        <f>'4. паспортбюджет'!A5:O5</f>
        <v>Год раскрытия информации: 2021 год</v>
      </c>
      <c r="B5" s="304"/>
      <c r="C5" s="304"/>
      <c r="D5" s="304"/>
      <c r="E5" s="304"/>
      <c r="F5" s="91"/>
    </row>
    <row r="6" spans="1:6" ht="18" x14ac:dyDescent="0.25">
      <c r="A6" s="92"/>
      <c r="B6" s="93"/>
      <c r="C6" s="93"/>
      <c r="D6" s="92"/>
      <c r="E6" s="93"/>
      <c r="F6" s="93"/>
    </row>
    <row r="7" spans="1:6" ht="18.75" x14ac:dyDescent="0.25">
      <c r="A7" s="11"/>
      <c r="B7" s="11"/>
      <c r="C7" s="11"/>
      <c r="D7" s="11" t="s">
        <v>5</v>
      </c>
      <c r="E7" s="11"/>
      <c r="F7" s="11"/>
    </row>
    <row r="8" spans="1:6" ht="18.75" x14ac:dyDescent="0.25">
      <c r="A8" s="309"/>
      <c r="B8" s="309"/>
      <c r="C8" s="309"/>
      <c r="D8" s="309"/>
      <c r="E8" s="309"/>
      <c r="F8" s="309"/>
    </row>
    <row r="9" spans="1:6" ht="18.75" x14ac:dyDescent="0.25">
      <c r="A9" s="241" t="s">
        <v>177</v>
      </c>
      <c r="B9" s="241"/>
      <c r="C9" s="241"/>
      <c r="D9" s="241"/>
      <c r="E9" s="241"/>
      <c r="F9" s="241"/>
    </row>
    <row r="10" spans="1:6" ht="18.75" x14ac:dyDescent="0.25">
      <c r="A10" s="290" t="s">
        <v>4</v>
      </c>
      <c r="B10" s="290"/>
      <c r="C10" s="290"/>
      <c r="D10" s="290"/>
      <c r="E10" s="290"/>
      <c r="F10" s="290"/>
    </row>
    <row r="11" spans="1:6" ht="18.75" x14ac:dyDescent="0.25">
      <c r="A11" s="309"/>
      <c r="B11" s="309"/>
      <c r="C11" s="309"/>
      <c r="D11" s="309"/>
      <c r="E11" s="309"/>
      <c r="F11" s="309"/>
    </row>
    <row r="12" spans="1:6" ht="18.75" x14ac:dyDescent="0.25">
      <c r="A12" s="241" t="str">
        <f>'4. паспортбюджет'!A12:O12</f>
        <v>L_Che442_21</v>
      </c>
      <c r="B12" s="241"/>
      <c r="C12" s="241"/>
      <c r="D12" s="241"/>
      <c r="E12" s="241"/>
      <c r="F12" s="241"/>
    </row>
    <row r="13" spans="1:6" ht="18.75" x14ac:dyDescent="0.25">
      <c r="A13" s="290" t="s">
        <v>3</v>
      </c>
      <c r="B13" s="290"/>
      <c r="C13" s="290"/>
      <c r="D13" s="290"/>
      <c r="E13" s="290"/>
      <c r="F13" s="290"/>
    </row>
    <row r="14" spans="1:6" ht="18.75" x14ac:dyDescent="0.25">
      <c r="A14" s="313"/>
      <c r="B14" s="313"/>
      <c r="C14" s="313"/>
      <c r="D14" s="313"/>
      <c r="E14" s="313"/>
      <c r="F14" s="313"/>
    </row>
    <row r="15" spans="1:6" ht="18.75" x14ac:dyDescent="0.25">
      <c r="A15" s="241" t="str">
        <f>'4. паспортбюджет'!A15:O15</f>
        <v>Приобретение оборудования в рамках Программы подготовки к ОЗП 2020/2021 гг.</v>
      </c>
      <c r="B15" s="241"/>
      <c r="C15" s="241"/>
      <c r="D15" s="241"/>
      <c r="E15" s="241"/>
      <c r="F15" s="241"/>
    </row>
    <row r="16" spans="1:6" ht="18.75" x14ac:dyDescent="0.25">
      <c r="A16" s="290" t="s">
        <v>2</v>
      </c>
      <c r="B16" s="290"/>
      <c r="C16" s="290"/>
      <c r="D16" s="290"/>
      <c r="E16" s="290"/>
      <c r="F16" s="290"/>
    </row>
    <row r="17" spans="1:6" ht="18.75" x14ac:dyDescent="0.25">
      <c r="A17" s="87"/>
      <c r="B17" s="87"/>
      <c r="C17" s="87"/>
      <c r="D17" s="87"/>
      <c r="E17" s="87"/>
      <c r="F17" s="87"/>
    </row>
    <row r="18" spans="1:6" ht="18.75" x14ac:dyDescent="0.25">
      <c r="A18" s="305" t="s">
        <v>166</v>
      </c>
      <c r="B18" s="305"/>
      <c r="C18" s="305"/>
      <c r="D18" s="305"/>
      <c r="E18" s="305"/>
      <c r="F18" s="305"/>
    </row>
    <row r="19" spans="1:6" x14ac:dyDescent="0.25">
      <c r="A19" s="94"/>
      <c r="B19" s="94"/>
      <c r="C19" s="94"/>
      <c r="D19" s="94"/>
      <c r="E19" s="94"/>
      <c r="F19" s="94"/>
    </row>
    <row r="20" spans="1:6" ht="15.75" thickBot="1" x14ac:dyDescent="0.3">
      <c r="A20" s="94"/>
      <c r="B20" s="94"/>
      <c r="C20" s="94"/>
      <c r="D20" s="94"/>
      <c r="E20" s="94"/>
      <c r="F20" s="94"/>
    </row>
    <row r="21" spans="1:6" ht="15.75" x14ac:dyDescent="0.25">
      <c r="A21" s="95"/>
      <c r="B21" s="306" t="s">
        <v>182</v>
      </c>
      <c r="C21" s="307"/>
      <c r="D21" s="307"/>
      <c r="E21" s="308"/>
      <c r="F21" s="95"/>
    </row>
    <row r="22" spans="1:6" ht="15.75" x14ac:dyDescent="0.25">
      <c r="A22" s="95"/>
      <c r="B22" s="310" t="s">
        <v>183</v>
      </c>
      <c r="C22" s="311"/>
      <c r="D22" s="311" t="s">
        <v>184</v>
      </c>
      <c r="E22" s="312"/>
      <c r="F22" s="95"/>
    </row>
    <row r="23" spans="1:6" ht="63" x14ac:dyDescent="0.25">
      <c r="A23" s="95"/>
      <c r="B23" s="96" t="s">
        <v>185</v>
      </c>
      <c r="C23" s="97" t="s">
        <v>186</v>
      </c>
      <c r="D23" s="97" t="s">
        <v>187</v>
      </c>
      <c r="E23" s="98" t="s">
        <v>188</v>
      </c>
      <c r="F23" s="95"/>
    </row>
    <row r="24" spans="1:6" ht="15.75" x14ac:dyDescent="0.25">
      <c r="A24" s="95"/>
      <c r="B24" s="100" t="s">
        <v>229</v>
      </c>
      <c r="C24" s="100" t="s">
        <v>229</v>
      </c>
      <c r="D24" s="100" t="s">
        <v>229</v>
      </c>
      <c r="E24" s="100" t="s">
        <v>229</v>
      </c>
      <c r="F24" s="95"/>
    </row>
    <row r="25" spans="1:6" x14ac:dyDescent="0.25">
      <c r="A25" s="94"/>
      <c r="B25" s="94"/>
      <c r="C25" s="94"/>
      <c r="D25" s="94"/>
      <c r="E25" s="94"/>
      <c r="F25" s="94"/>
    </row>
    <row r="26" spans="1:6" x14ac:dyDescent="0.25">
      <c r="A26" s="94"/>
      <c r="B26" s="94"/>
      <c r="C26" s="94"/>
      <c r="D26" s="94"/>
      <c r="E26" s="94"/>
      <c r="F26" s="94"/>
    </row>
    <row r="27" spans="1:6" x14ac:dyDescent="0.25">
      <c r="A27" s="94"/>
      <c r="B27" s="94"/>
      <c r="C27" s="94"/>
      <c r="D27" s="94"/>
      <c r="E27" s="94"/>
      <c r="F27" s="94"/>
    </row>
    <row r="28" spans="1:6" x14ac:dyDescent="0.25">
      <c r="A28" s="94"/>
      <c r="B28" s="94"/>
      <c r="C28" s="94"/>
      <c r="D28" s="94"/>
      <c r="E28" s="94"/>
      <c r="F28" s="94"/>
    </row>
    <row r="29" spans="1:6" x14ac:dyDescent="0.25">
      <c r="A29" s="94"/>
      <c r="B29" s="94"/>
      <c r="C29" s="94"/>
      <c r="D29" s="94"/>
      <c r="E29" s="94"/>
      <c r="F29" s="94"/>
    </row>
    <row r="30" spans="1:6" x14ac:dyDescent="0.25">
      <c r="A30" s="94"/>
      <c r="B30" s="94"/>
      <c r="C30" s="94"/>
      <c r="D30" s="94"/>
      <c r="E30" s="94"/>
      <c r="F30" s="94"/>
    </row>
    <row r="31" spans="1:6" x14ac:dyDescent="0.25">
      <c r="A31" s="94"/>
      <c r="B31" s="94"/>
      <c r="C31" s="94"/>
      <c r="D31" s="94"/>
      <c r="E31" s="94"/>
      <c r="F31" s="94"/>
    </row>
    <row r="32" spans="1:6" x14ac:dyDescent="0.25">
      <c r="A32" s="94"/>
      <c r="B32" s="94"/>
      <c r="C32" s="94"/>
      <c r="D32" s="94"/>
      <c r="E32" s="94"/>
      <c r="F32" s="94"/>
    </row>
    <row r="33" spans="1:6" x14ac:dyDescent="0.25">
      <c r="A33" s="94"/>
      <c r="B33" s="94"/>
      <c r="C33" s="94"/>
      <c r="D33" s="94"/>
      <c r="E33" s="94"/>
      <c r="F33" s="94"/>
    </row>
    <row r="34" spans="1:6" x14ac:dyDescent="0.25">
      <c r="A34" s="94"/>
      <c r="B34" s="94"/>
      <c r="C34" s="94"/>
      <c r="D34" s="94"/>
      <c r="E34" s="94"/>
      <c r="F34" s="94"/>
    </row>
    <row r="35" spans="1:6" x14ac:dyDescent="0.25">
      <c r="A35" s="94"/>
      <c r="B35" s="94"/>
      <c r="C35" s="94"/>
      <c r="D35" s="94"/>
      <c r="E35" s="94"/>
      <c r="F35" s="94"/>
    </row>
    <row r="36" spans="1:6" x14ac:dyDescent="0.25">
      <c r="A36" s="94"/>
      <c r="B36" s="94"/>
      <c r="C36" s="94"/>
      <c r="D36" s="94"/>
      <c r="E36" s="94"/>
      <c r="F36" s="94"/>
    </row>
    <row r="37" spans="1:6" x14ac:dyDescent="0.25">
      <c r="A37" s="94"/>
      <c r="B37" s="94"/>
      <c r="C37" s="94"/>
      <c r="D37" s="94"/>
      <c r="E37" s="94"/>
      <c r="F37" s="94"/>
    </row>
    <row r="38" spans="1:6" x14ac:dyDescent="0.25">
      <c r="A38" s="94"/>
      <c r="B38" s="94"/>
      <c r="C38" s="94"/>
      <c r="D38" s="94"/>
      <c r="E38" s="94"/>
      <c r="F38" s="94"/>
    </row>
    <row r="39" spans="1:6" x14ac:dyDescent="0.25">
      <c r="A39" s="94"/>
      <c r="B39" s="94"/>
      <c r="C39" s="94"/>
      <c r="D39" s="94"/>
      <c r="E39" s="94"/>
      <c r="F39" s="94"/>
    </row>
    <row r="40" spans="1:6" x14ac:dyDescent="0.25">
      <c r="A40" s="94"/>
      <c r="B40" s="94"/>
      <c r="C40" s="94"/>
      <c r="D40" s="94"/>
      <c r="E40" s="94"/>
      <c r="F40" s="94"/>
    </row>
    <row r="41" spans="1:6" x14ac:dyDescent="0.25">
      <c r="A41" s="94"/>
      <c r="B41" s="94"/>
      <c r="C41" s="94"/>
      <c r="D41" s="94"/>
      <c r="E41" s="94"/>
      <c r="F41" s="94"/>
    </row>
    <row r="42" spans="1:6" x14ac:dyDescent="0.25">
      <c r="A42" s="94"/>
      <c r="B42" s="94"/>
      <c r="C42" s="94"/>
      <c r="D42" s="94"/>
      <c r="E42" s="94"/>
      <c r="F42" s="94"/>
    </row>
    <row r="43" spans="1:6" x14ac:dyDescent="0.25">
      <c r="A43" s="94"/>
      <c r="B43" s="94"/>
      <c r="C43" s="94"/>
      <c r="D43" s="94"/>
      <c r="E43" s="94"/>
      <c r="F43" s="94"/>
    </row>
    <row r="44" spans="1:6" x14ac:dyDescent="0.25">
      <c r="A44" s="94"/>
      <c r="B44" s="94"/>
      <c r="C44" s="94"/>
      <c r="D44" s="94"/>
      <c r="E44" s="94"/>
      <c r="F44" s="94"/>
    </row>
    <row r="45" spans="1:6" x14ac:dyDescent="0.25">
      <c r="A45" s="94"/>
      <c r="B45" s="94"/>
      <c r="C45" s="94"/>
      <c r="D45" s="94"/>
      <c r="E45" s="94"/>
      <c r="F45" s="94"/>
    </row>
    <row r="46" spans="1:6" x14ac:dyDescent="0.25">
      <c r="A46" s="94"/>
      <c r="B46" s="94"/>
      <c r="C46" s="94"/>
      <c r="D46" s="94"/>
      <c r="E46" s="94"/>
      <c r="F46" s="94"/>
    </row>
    <row r="47" spans="1:6" x14ac:dyDescent="0.25">
      <c r="A47" s="94"/>
      <c r="B47" s="94"/>
      <c r="C47" s="94"/>
      <c r="D47" s="94"/>
      <c r="E47" s="94"/>
      <c r="F47" s="94"/>
    </row>
    <row r="48" spans="1:6" x14ac:dyDescent="0.25">
      <c r="A48" s="94"/>
      <c r="B48" s="94"/>
      <c r="C48" s="94"/>
      <c r="D48" s="94"/>
      <c r="E48" s="94"/>
      <c r="F48" s="94"/>
    </row>
    <row r="49" spans="1:6" x14ac:dyDescent="0.25">
      <c r="A49" s="94"/>
      <c r="B49" s="94"/>
      <c r="C49" s="94"/>
      <c r="D49" s="94"/>
      <c r="E49" s="94"/>
      <c r="F49" s="94"/>
    </row>
    <row r="50" spans="1:6" x14ac:dyDescent="0.25">
      <c r="A50" s="94"/>
      <c r="B50" s="94"/>
      <c r="C50" s="94"/>
      <c r="D50" s="94"/>
      <c r="E50" s="94"/>
      <c r="F50" s="94"/>
    </row>
    <row r="51" spans="1:6" x14ac:dyDescent="0.25">
      <c r="A51" s="94"/>
      <c r="B51" s="94"/>
      <c r="C51" s="94"/>
      <c r="D51" s="94"/>
      <c r="E51" s="94"/>
      <c r="F51" s="94"/>
    </row>
    <row r="52" spans="1:6" x14ac:dyDescent="0.25">
      <c r="A52" s="94"/>
      <c r="B52" s="94"/>
      <c r="C52" s="94"/>
      <c r="D52" s="94"/>
      <c r="E52" s="94"/>
      <c r="F52" s="94"/>
    </row>
    <row r="53" spans="1:6" x14ac:dyDescent="0.25">
      <c r="A53" s="94"/>
      <c r="B53" s="94"/>
      <c r="C53" s="94"/>
      <c r="D53" s="94"/>
      <c r="E53" s="94"/>
      <c r="F53" s="94"/>
    </row>
    <row r="54" spans="1:6" x14ac:dyDescent="0.25">
      <c r="A54" s="94"/>
      <c r="B54" s="94"/>
      <c r="C54" s="94"/>
      <c r="D54" s="94"/>
      <c r="E54" s="94"/>
      <c r="F54" s="94"/>
    </row>
    <row r="55" spans="1:6" x14ac:dyDescent="0.25">
      <c r="A55" s="94"/>
      <c r="B55" s="94"/>
      <c r="C55" s="94"/>
      <c r="D55" s="94"/>
      <c r="E55" s="94"/>
      <c r="F55" s="94"/>
    </row>
    <row r="56" spans="1:6" x14ac:dyDescent="0.25">
      <c r="A56" s="94"/>
      <c r="B56" s="94"/>
      <c r="C56" s="94"/>
      <c r="D56" s="94"/>
      <c r="E56" s="94"/>
      <c r="F56" s="94"/>
    </row>
    <row r="57" spans="1:6" x14ac:dyDescent="0.25">
      <c r="A57" s="94"/>
      <c r="B57" s="94"/>
      <c r="C57" s="94"/>
      <c r="D57" s="94"/>
      <c r="E57" s="94"/>
      <c r="F57" s="94"/>
    </row>
    <row r="58" spans="1:6" x14ac:dyDescent="0.25">
      <c r="A58" s="94"/>
      <c r="B58" s="94"/>
      <c r="C58" s="94"/>
      <c r="D58" s="94"/>
      <c r="E58" s="94"/>
      <c r="F58" s="94"/>
    </row>
    <row r="59" spans="1:6" x14ac:dyDescent="0.25">
      <c r="A59" s="94"/>
      <c r="B59" s="94"/>
      <c r="C59" s="94"/>
      <c r="D59" s="94"/>
      <c r="E59" s="94"/>
      <c r="F59" s="94"/>
    </row>
    <row r="60" spans="1:6" x14ac:dyDescent="0.25">
      <c r="A60" s="94"/>
      <c r="B60" s="94"/>
      <c r="C60" s="94"/>
      <c r="D60" s="94"/>
      <c r="E60" s="94"/>
      <c r="F60" s="94"/>
    </row>
    <row r="61" spans="1:6" x14ac:dyDescent="0.25">
      <c r="A61" s="94"/>
      <c r="B61" s="94"/>
      <c r="C61" s="94"/>
      <c r="D61" s="94"/>
      <c r="E61" s="94"/>
      <c r="F61" s="94"/>
    </row>
    <row r="62" spans="1:6" x14ac:dyDescent="0.25">
      <c r="A62" s="94"/>
      <c r="B62" s="94"/>
      <c r="C62" s="94"/>
      <c r="D62" s="94"/>
      <c r="E62" s="94"/>
      <c r="F62" s="94"/>
    </row>
    <row r="63" spans="1:6" x14ac:dyDescent="0.25">
      <c r="A63" s="94"/>
      <c r="B63" s="94"/>
      <c r="C63" s="94"/>
      <c r="D63" s="94"/>
      <c r="E63" s="94"/>
      <c r="F63" s="94"/>
    </row>
    <row r="64" spans="1:6" x14ac:dyDescent="0.25">
      <c r="A64" s="94"/>
      <c r="B64" s="94"/>
      <c r="C64" s="94"/>
      <c r="D64" s="94"/>
      <c r="E64" s="94"/>
      <c r="F64" s="94"/>
    </row>
    <row r="65" spans="1:6" x14ac:dyDescent="0.25">
      <c r="A65" s="94"/>
      <c r="B65" s="94"/>
      <c r="C65" s="94"/>
      <c r="D65" s="94"/>
      <c r="E65" s="94"/>
      <c r="F65" s="94"/>
    </row>
    <row r="66" spans="1:6" x14ac:dyDescent="0.25">
      <c r="A66" s="94"/>
      <c r="B66" s="94"/>
      <c r="C66" s="94"/>
      <c r="D66" s="94"/>
      <c r="E66" s="94"/>
      <c r="F66" s="94"/>
    </row>
    <row r="67" spans="1:6" x14ac:dyDescent="0.25">
      <c r="A67" s="94"/>
      <c r="B67" s="94"/>
      <c r="C67" s="94"/>
      <c r="D67" s="94"/>
      <c r="E67" s="94"/>
      <c r="F67" s="94"/>
    </row>
    <row r="68" spans="1:6" x14ac:dyDescent="0.25">
      <c r="A68" s="94"/>
      <c r="B68" s="94"/>
      <c r="C68" s="94"/>
      <c r="D68" s="94"/>
      <c r="E68" s="94"/>
      <c r="F68" s="94"/>
    </row>
    <row r="69" spans="1:6" x14ac:dyDescent="0.25">
      <c r="A69" s="94"/>
      <c r="B69" s="94"/>
      <c r="C69" s="94"/>
      <c r="D69" s="94"/>
      <c r="E69" s="94"/>
      <c r="F69" s="94"/>
    </row>
    <row r="70" spans="1:6" x14ac:dyDescent="0.25">
      <c r="A70" s="94"/>
      <c r="B70" s="94"/>
      <c r="C70" s="94"/>
      <c r="D70" s="94"/>
      <c r="E70" s="94"/>
      <c r="F70" s="94"/>
    </row>
    <row r="71" spans="1:6" x14ac:dyDescent="0.25">
      <c r="A71" s="94"/>
      <c r="B71" s="94"/>
      <c r="C71" s="94"/>
      <c r="D71" s="94"/>
      <c r="E71" s="94"/>
      <c r="F71" s="94"/>
    </row>
    <row r="72" spans="1:6" x14ac:dyDescent="0.25">
      <c r="A72" s="94"/>
      <c r="B72" s="94"/>
      <c r="C72" s="94"/>
      <c r="D72" s="94"/>
      <c r="E72" s="94"/>
      <c r="F72" s="94"/>
    </row>
    <row r="73" spans="1:6" x14ac:dyDescent="0.25">
      <c r="A73" s="94"/>
      <c r="B73" s="94"/>
      <c r="C73" s="94"/>
      <c r="D73" s="94"/>
      <c r="E73" s="94"/>
      <c r="F73" s="94"/>
    </row>
    <row r="74" spans="1:6" x14ac:dyDescent="0.25">
      <c r="A74" s="94"/>
      <c r="B74" s="94"/>
      <c r="C74" s="94"/>
      <c r="D74" s="94"/>
      <c r="E74" s="94"/>
      <c r="F74" s="94"/>
    </row>
    <row r="75" spans="1:6" x14ac:dyDescent="0.25">
      <c r="A75" s="94"/>
      <c r="B75" s="94"/>
      <c r="C75" s="94"/>
      <c r="D75" s="94"/>
      <c r="E75" s="94"/>
      <c r="F75" s="94"/>
    </row>
    <row r="76" spans="1:6" x14ac:dyDescent="0.25">
      <c r="A76" s="94"/>
      <c r="B76" s="94"/>
      <c r="C76" s="94"/>
      <c r="D76" s="94"/>
      <c r="E76" s="94"/>
      <c r="F76" s="94"/>
    </row>
    <row r="77" spans="1:6" x14ac:dyDescent="0.25">
      <c r="A77" s="94"/>
      <c r="B77" s="94"/>
      <c r="C77" s="94"/>
      <c r="D77" s="94"/>
      <c r="E77" s="94"/>
      <c r="F77" s="94"/>
    </row>
    <row r="78" spans="1:6" x14ac:dyDescent="0.25">
      <c r="A78" s="94"/>
      <c r="B78" s="94"/>
      <c r="C78" s="94"/>
      <c r="D78" s="94"/>
      <c r="E78" s="94"/>
      <c r="F78" s="94"/>
    </row>
    <row r="79" spans="1:6" x14ac:dyDescent="0.25">
      <c r="A79" s="94"/>
      <c r="B79" s="94"/>
      <c r="C79" s="94"/>
      <c r="D79" s="94"/>
      <c r="E79" s="94"/>
      <c r="F79" s="94"/>
    </row>
    <row r="80" spans="1:6" x14ac:dyDescent="0.25">
      <c r="A80" s="94"/>
      <c r="B80" s="94"/>
      <c r="C80" s="94"/>
      <c r="D80" s="94"/>
      <c r="E80" s="94"/>
      <c r="F80" s="94"/>
    </row>
    <row r="81" spans="1:6" x14ac:dyDescent="0.25">
      <c r="A81" s="94"/>
      <c r="B81" s="94"/>
      <c r="C81" s="94"/>
      <c r="D81" s="94"/>
      <c r="E81" s="94"/>
      <c r="F81" s="94"/>
    </row>
    <row r="82" spans="1:6" x14ac:dyDescent="0.25">
      <c r="A82" s="94"/>
      <c r="B82" s="94"/>
      <c r="C82" s="94"/>
      <c r="D82" s="94"/>
      <c r="E82" s="94"/>
      <c r="F82" s="94"/>
    </row>
    <row r="83" spans="1:6" x14ac:dyDescent="0.25">
      <c r="A83" s="94"/>
      <c r="B83" s="94"/>
      <c r="C83" s="94"/>
      <c r="D83" s="94"/>
      <c r="E83" s="94"/>
      <c r="F83" s="94"/>
    </row>
    <row r="84" spans="1:6" x14ac:dyDescent="0.25">
      <c r="A84" s="94"/>
      <c r="B84" s="94"/>
      <c r="C84" s="94"/>
      <c r="D84" s="94"/>
      <c r="E84" s="94"/>
      <c r="F84" s="94"/>
    </row>
    <row r="85" spans="1:6" x14ac:dyDescent="0.25">
      <c r="A85" s="94"/>
      <c r="B85" s="94"/>
      <c r="C85" s="94"/>
      <c r="D85" s="94"/>
      <c r="E85" s="94"/>
      <c r="F85" s="94"/>
    </row>
    <row r="86" spans="1:6" x14ac:dyDescent="0.25">
      <c r="A86" s="94"/>
      <c r="B86" s="94"/>
      <c r="C86" s="94"/>
      <c r="D86" s="94"/>
      <c r="E86" s="94"/>
      <c r="F86" s="94"/>
    </row>
    <row r="87" spans="1:6" x14ac:dyDescent="0.25">
      <c r="A87" s="94"/>
      <c r="B87" s="94"/>
      <c r="C87" s="94"/>
      <c r="D87" s="94"/>
      <c r="E87" s="94"/>
      <c r="F87" s="94"/>
    </row>
    <row r="88" spans="1:6" x14ac:dyDescent="0.25">
      <c r="A88" s="94"/>
      <c r="B88" s="94"/>
      <c r="C88" s="94"/>
      <c r="D88" s="94"/>
      <c r="E88" s="94"/>
      <c r="F88" s="94"/>
    </row>
    <row r="89" spans="1:6" x14ac:dyDescent="0.25">
      <c r="A89" s="94"/>
      <c r="B89" s="94"/>
      <c r="C89" s="94"/>
      <c r="D89" s="94"/>
      <c r="E89" s="94"/>
      <c r="F89" s="94"/>
    </row>
    <row r="90" spans="1:6" x14ac:dyDescent="0.25">
      <c r="A90" s="94"/>
      <c r="B90" s="94"/>
      <c r="C90" s="94"/>
      <c r="D90" s="94"/>
      <c r="E90" s="94"/>
      <c r="F90" s="94"/>
    </row>
    <row r="91" spans="1:6" x14ac:dyDescent="0.25">
      <c r="A91" s="94"/>
      <c r="B91" s="94"/>
      <c r="C91" s="94"/>
      <c r="D91" s="94"/>
      <c r="E91" s="94"/>
      <c r="F91" s="94"/>
    </row>
    <row r="92" spans="1:6" x14ac:dyDescent="0.25">
      <c r="A92" s="94"/>
      <c r="B92" s="94"/>
      <c r="C92" s="94"/>
      <c r="D92" s="94"/>
      <c r="E92" s="94"/>
      <c r="F92" s="94"/>
    </row>
    <row r="93" spans="1:6" x14ac:dyDescent="0.25">
      <c r="A93" s="94"/>
      <c r="B93" s="94"/>
      <c r="C93" s="94"/>
      <c r="D93" s="94"/>
      <c r="E93" s="94"/>
      <c r="F93" s="94"/>
    </row>
    <row r="94" spans="1:6" x14ac:dyDescent="0.25">
      <c r="A94" s="94"/>
      <c r="B94" s="94"/>
      <c r="C94" s="94"/>
      <c r="D94" s="94"/>
      <c r="E94" s="94"/>
      <c r="F94" s="94"/>
    </row>
    <row r="95" spans="1:6" x14ac:dyDescent="0.25">
      <c r="A95" s="94"/>
      <c r="B95" s="94"/>
      <c r="C95" s="94"/>
      <c r="D95" s="94"/>
      <c r="E95" s="94"/>
      <c r="F95" s="94"/>
    </row>
    <row r="96" spans="1:6" x14ac:dyDescent="0.25">
      <c r="A96" s="94"/>
      <c r="B96" s="94"/>
      <c r="C96" s="94"/>
      <c r="D96" s="94"/>
      <c r="E96" s="94"/>
      <c r="F96" s="94"/>
    </row>
  </sheetData>
  <mergeCells count="17">
    <mergeCell ref="B22:C22"/>
    <mergeCell ref="D22:E22"/>
    <mergeCell ref="A14:C14"/>
    <mergeCell ref="D14:F14"/>
    <mergeCell ref="A15:F15"/>
    <mergeCell ref="A16:F16"/>
    <mergeCell ref="A9:F9"/>
    <mergeCell ref="A10:F10"/>
    <mergeCell ref="A5:E5"/>
    <mergeCell ref="A18:F18"/>
    <mergeCell ref="B21:E21"/>
    <mergeCell ref="A11:C11"/>
    <mergeCell ref="D11:F11"/>
    <mergeCell ref="A12:F12"/>
    <mergeCell ref="A13:F13"/>
    <mergeCell ref="A8:C8"/>
    <mergeCell ref="D8:F8"/>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abSelected="1" topLeftCell="A22" zoomScale="70" zoomScaleNormal="70" workbookViewId="0">
      <selection activeCell="I62" sqref="I62"/>
    </sheetView>
  </sheetViews>
  <sheetFormatPr defaultColWidth="9.140625" defaultRowHeight="15.75" x14ac:dyDescent="0.25"/>
  <cols>
    <col min="1" max="1" width="9.140625" style="39"/>
    <col min="2" max="2" width="35.85546875" style="39" customWidth="1"/>
    <col min="3" max="4" width="12.140625" style="39" customWidth="1"/>
    <col min="5" max="10" width="15.7109375" style="39" customWidth="1"/>
    <col min="11" max="16384" width="9.140625" style="39"/>
  </cols>
  <sheetData>
    <row r="1" spans="1:42" ht="18.75" x14ac:dyDescent="0.25">
      <c r="J1" s="89" t="s">
        <v>22</v>
      </c>
    </row>
    <row r="2" spans="1:42" ht="18.75" x14ac:dyDescent="0.3">
      <c r="J2" s="90" t="s">
        <v>6</v>
      </c>
    </row>
    <row r="3" spans="1:42" ht="18.75" x14ac:dyDescent="0.3">
      <c r="J3" s="90" t="s">
        <v>21</v>
      </c>
    </row>
    <row r="4" spans="1:42" ht="18.75" x14ac:dyDescent="0.3">
      <c r="I4" s="90"/>
    </row>
    <row r="5" spans="1:42" x14ac:dyDescent="0.25">
      <c r="A5" s="238" t="s">
        <v>462</v>
      </c>
      <c r="B5" s="238"/>
      <c r="C5" s="238"/>
      <c r="D5" s="238"/>
      <c r="E5" s="238"/>
      <c r="F5" s="238"/>
      <c r="G5" s="238"/>
      <c r="H5" s="238"/>
      <c r="I5" s="238"/>
      <c r="J5" s="238"/>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row>
    <row r="6" spans="1:42" ht="18.75" x14ac:dyDescent="0.3">
      <c r="I6" s="90"/>
    </row>
    <row r="7" spans="1:42" ht="18.75" x14ac:dyDescent="0.25">
      <c r="A7" s="259" t="s">
        <v>5</v>
      </c>
      <c r="B7" s="259"/>
      <c r="C7" s="259"/>
      <c r="D7" s="259"/>
      <c r="E7" s="259"/>
      <c r="F7" s="259"/>
      <c r="G7" s="259"/>
      <c r="H7" s="259"/>
      <c r="I7" s="259"/>
      <c r="J7" s="259"/>
    </row>
    <row r="8" spans="1:42" ht="18.75" x14ac:dyDescent="0.25">
      <c r="A8" s="259"/>
      <c r="B8" s="259"/>
      <c r="C8" s="259"/>
      <c r="D8" s="259"/>
      <c r="E8" s="259"/>
      <c r="F8" s="259"/>
      <c r="G8" s="259"/>
      <c r="H8" s="259"/>
      <c r="I8" s="259"/>
      <c r="J8" s="259"/>
    </row>
    <row r="9" spans="1:42" x14ac:dyDescent="0.25">
      <c r="A9" s="260" t="s">
        <v>177</v>
      </c>
      <c r="B9" s="260"/>
      <c r="C9" s="260"/>
      <c r="D9" s="260"/>
      <c r="E9" s="260"/>
      <c r="F9" s="260"/>
      <c r="G9" s="260"/>
      <c r="H9" s="260"/>
      <c r="I9" s="260"/>
      <c r="J9" s="260"/>
    </row>
    <row r="10" spans="1:42" x14ac:dyDescent="0.25">
      <c r="A10" s="261" t="s">
        <v>4</v>
      </c>
      <c r="B10" s="261"/>
      <c r="C10" s="261"/>
      <c r="D10" s="261"/>
      <c r="E10" s="261"/>
      <c r="F10" s="261"/>
      <c r="G10" s="261"/>
      <c r="H10" s="261"/>
      <c r="I10" s="261"/>
      <c r="J10" s="261"/>
    </row>
    <row r="11" spans="1:42" ht="18.75" x14ac:dyDescent="0.25">
      <c r="A11" s="259"/>
      <c r="B11" s="259"/>
      <c r="C11" s="259"/>
      <c r="D11" s="259"/>
      <c r="E11" s="259"/>
      <c r="F11" s="259"/>
      <c r="G11" s="259"/>
      <c r="H11" s="259"/>
      <c r="I11" s="259"/>
      <c r="J11" s="259"/>
    </row>
    <row r="12" spans="1:42" x14ac:dyDescent="0.25">
      <c r="A12" s="260" t="str">
        <f>'5.анализ эконом.эфф.'!A12:F12</f>
        <v>L_Che442_21</v>
      </c>
      <c r="B12" s="260"/>
      <c r="C12" s="260"/>
      <c r="D12" s="260"/>
      <c r="E12" s="260"/>
      <c r="F12" s="260"/>
      <c r="G12" s="260"/>
      <c r="H12" s="260"/>
      <c r="I12" s="260"/>
      <c r="J12" s="260"/>
    </row>
    <row r="13" spans="1:42" x14ac:dyDescent="0.25">
      <c r="A13" s="261" t="s">
        <v>3</v>
      </c>
      <c r="B13" s="261"/>
      <c r="C13" s="261"/>
      <c r="D13" s="261"/>
      <c r="E13" s="261"/>
      <c r="F13" s="261"/>
      <c r="G13" s="261"/>
      <c r="H13" s="261"/>
      <c r="I13" s="261"/>
      <c r="J13" s="261"/>
    </row>
    <row r="14" spans="1:42" ht="18.75" x14ac:dyDescent="0.25">
      <c r="A14" s="270"/>
      <c r="B14" s="270"/>
      <c r="C14" s="270"/>
      <c r="D14" s="270"/>
      <c r="E14" s="270"/>
      <c r="F14" s="270"/>
      <c r="G14" s="270"/>
      <c r="H14" s="270"/>
      <c r="I14" s="270"/>
      <c r="J14" s="270"/>
    </row>
    <row r="15" spans="1:42" x14ac:dyDescent="0.25">
      <c r="A15" s="260" t="str">
        <f>'5.анализ эконом.эфф.'!A15:F15</f>
        <v>Приобретение оборудования в рамках Программы подготовки к ОЗП 2020/2021 гг.</v>
      </c>
      <c r="B15" s="260"/>
      <c r="C15" s="260"/>
      <c r="D15" s="260"/>
      <c r="E15" s="260"/>
      <c r="F15" s="260"/>
      <c r="G15" s="260"/>
      <c r="H15" s="260"/>
      <c r="I15" s="260"/>
      <c r="J15" s="260"/>
    </row>
    <row r="16" spans="1:42" x14ac:dyDescent="0.25">
      <c r="A16" s="261" t="s">
        <v>2</v>
      </c>
      <c r="B16" s="261"/>
      <c r="C16" s="261"/>
      <c r="D16" s="261"/>
      <c r="E16" s="261"/>
      <c r="F16" s="261"/>
      <c r="G16" s="261"/>
      <c r="H16" s="261"/>
      <c r="I16" s="261"/>
      <c r="J16" s="261"/>
    </row>
    <row r="17" spans="1:10" x14ac:dyDescent="0.25">
      <c r="J17" s="176"/>
    </row>
    <row r="18" spans="1:10" x14ac:dyDescent="0.25">
      <c r="I18" s="36"/>
    </row>
    <row r="19" spans="1:10" x14ac:dyDescent="0.25">
      <c r="A19" s="314" t="s">
        <v>336</v>
      </c>
      <c r="B19" s="314"/>
      <c r="C19" s="314"/>
      <c r="D19" s="314"/>
      <c r="E19" s="314"/>
      <c r="F19" s="314"/>
      <c r="G19" s="314"/>
      <c r="H19" s="314"/>
      <c r="I19" s="314"/>
      <c r="J19" s="314"/>
    </row>
    <row r="20" spans="1:10" x14ac:dyDescent="0.25">
      <c r="A20" s="41"/>
      <c r="B20" s="41"/>
      <c r="C20" s="40"/>
      <c r="D20" s="40"/>
      <c r="E20" s="40"/>
      <c r="F20" s="40"/>
      <c r="G20" s="40"/>
      <c r="H20" s="40"/>
      <c r="I20" s="40"/>
      <c r="J20" s="40"/>
    </row>
    <row r="21" spans="1:10" x14ac:dyDescent="0.25">
      <c r="A21" s="319" t="s">
        <v>337</v>
      </c>
      <c r="B21" s="319" t="s">
        <v>338</v>
      </c>
      <c r="C21" s="320" t="s">
        <v>339</v>
      </c>
      <c r="D21" s="320"/>
      <c r="E21" s="320"/>
      <c r="F21" s="320"/>
      <c r="G21" s="321" t="s">
        <v>340</v>
      </c>
      <c r="H21" s="322" t="s">
        <v>341</v>
      </c>
      <c r="I21" s="319" t="s">
        <v>342</v>
      </c>
      <c r="J21" s="315" t="s">
        <v>343</v>
      </c>
    </row>
    <row r="22" spans="1:10" ht="49.5" customHeight="1" x14ac:dyDescent="0.25">
      <c r="A22" s="319"/>
      <c r="B22" s="319"/>
      <c r="C22" s="316" t="s">
        <v>0</v>
      </c>
      <c r="D22" s="316"/>
      <c r="E22" s="317" t="s">
        <v>439</v>
      </c>
      <c r="F22" s="318"/>
      <c r="G22" s="321"/>
      <c r="H22" s="323"/>
      <c r="I22" s="319"/>
      <c r="J22" s="315"/>
    </row>
    <row r="23" spans="1:10" ht="31.5" x14ac:dyDescent="0.25">
      <c r="A23" s="319"/>
      <c r="B23" s="319"/>
      <c r="C23" s="177" t="s">
        <v>344</v>
      </c>
      <c r="D23" s="177" t="s">
        <v>345</v>
      </c>
      <c r="E23" s="177" t="s">
        <v>344</v>
      </c>
      <c r="F23" s="177" t="s">
        <v>345</v>
      </c>
      <c r="G23" s="321"/>
      <c r="H23" s="324"/>
      <c r="I23" s="319"/>
      <c r="J23" s="315"/>
    </row>
    <row r="24" spans="1:10" x14ac:dyDescent="0.25">
      <c r="A24" s="44">
        <v>1</v>
      </c>
      <c r="B24" s="44">
        <v>2</v>
      </c>
      <c r="C24" s="177">
        <v>3</v>
      </c>
      <c r="D24" s="177">
        <v>4</v>
      </c>
      <c r="E24" s="177">
        <v>7</v>
      </c>
      <c r="F24" s="177">
        <v>8</v>
      </c>
      <c r="G24" s="177">
        <v>9</v>
      </c>
      <c r="H24" s="177">
        <v>10</v>
      </c>
      <c r="I24" s="177">
        <v>11</v>
      </c>
      <c r="J24" s="177">
        <v>12</v>
      </c>
    </row>
    <row r="25" spans="1:10" ht="31.5" x14ac:dyDescent="0.25">
      <c r="A25" s="177">
        <v>1</v>
      </c>
      <c r="B25" s="178" t="s">
        <v>346</v>
      </c>
      <c r="C25" s="43" t="s">
        <v>229</v>
      </c>
      <c r="D25" s="43" t="s">
        <v>229</v>
      </c>
      <c r="E25" s="43" t="s">
        <v>179</v>
      </c>
      <c r="F25" s="43" t="s">
        <v>179</v>
      </c>
      <c r="G25" s="179"/>
      <c r="H25" s="179"/>
      <c r="I25" s="180"/>
      <c r="J25" s="181"/>
    </row>
    <row r="26" spans="1:10" ht="21" customHeight="1" x14ac:dyDescent="0.25">
      <c r="A26" s="177" t="s">
        <v>347</v>
      </c>
      <c r="B26" s="182" t="s">
        <v>348</v>
      </c>
      <c r="C26" s="43" t="s">
        <v>229</v>
      </c>
      <c r="D26" s="43" t="s">
        <v>229</v>
      </c>
      <c r="E26" s="43" t="s">
        <v>179</v>
      </c>
      <c r="F26" s="43" t="s">
        <v>179</v>
      </c>
      <c r="G26" s="179"/>
      <c r="H26" s="179"/>
      <c r="I26" s="180"/>
      <c r="J26" s="180"/>
    </row>
    <row r="27" spans="1:10" s="42" customFormat="1" ht="31.5" customHeight="1" x14ac:dyDescent="0.25">
      <c r="A27" s="177" t="s">
        <v>349</v>
      </c>
      <c r="B27" s="182" t="s">
        <v>350</v>
      </c>
      <c r="C27" s="43" t="s">
        <v>229</v>
      </c>
      <c r="D27" s="43" t="s">
        <v>229</v>
      </c>
      <c r="E27" s="43" t="s">
        <v>179</v>
      </c>
      <c r="F27" s="43" t="s">
        <v>179</v>
      </c>
      <c r="G27" s="179"/>
      <c r="H27" s="179"/>
      <c r="I27" s="180"/>
      <c r="J27" s="180"/>
    </row>
    <row r="28" spans="1:10" s="42" customFormat="1" ht="64.5" customHeight="1" x14ac:dyDescent="0.25">
      <c r="A28" s="177" t="s">
        <v>351</v>
      </c>
      <c r="B28" s="182" t="s">
        <v>352</v>
      </c>
      <c r="C28" s="43" t="s">
        <v>229</v>
      </c>
      <c r="D28" s="43" t="s">
        <v>229</v>
      </c>
      <c r="E28" s="43" t="s">
        <v>179</v>
      </c>
      <c r="F28" s="43" t="s">
        <v>179</v>
      </c>
      <c r="G28" s="179"/>
      <c r="H28" s="179"/>
      <c r="I28" s="180"/>
      <c r="J28" s="180"/>
    </row>
    <row r="29" spans="1:10" s="42" customFormat="1" ht="32.25" customHeight="1" x14ac:dyDescent="0.25">
      <c r="A29" s="177" t="s">
        <v>353</v>
      </c>
      <c r="B29" s="182" t="s">
        <v>354</v>
      </c>
      <c r="C29" s="43" t="s">
        <v>229</v>
      </c>
      <c r="D29" s="43" t="s">
        <v>229</v>
      </c>
      <c r="E29" s="43" t="s">
        <v>179</v>
      </c>
      <c r="F29" s="43" t="s">
        <v>179</v>
      </c>
      <c r="G29" s="179"/>
      <c r="H29" s="179"/>
      <c r="I29" s="180"/>
      <c r="J29" s="180"/>
    </row>
    <row r="30" spans="1:10" s="42" customFormat="1" ht="37.5" customHeight="1" x14ac:dyDescent="0.25">
      <c r="A30" s="177" t="s">
        <v>355</v>
      </c>
      <c r="B30" s="182" t="s">
        <v>356</v>
      </c>
      <c r="C30" s="43" t="s">
        <v>229</v>
      </c>
      <c r="D30" s="43" t="s">
        <v>229</v>
      </c>
      <c r="E30" s="43" t="s">
        <v>179</v>
      </c>
      <c r="F30" s="43" t="s">
        <v>179</v>
      </c>
      <c r="G30" s="179"/>
      <c r="H30" s="179"/>
      <c r="I30" s="180"/>
      <c r="J30" s="180"/>
    </row>
    <row r="31" spans="1:10" s="42" customFormat="1" ht="47.25" x14ac:dyDescent="0.25">
      <c r="A31" s="177" t="s">
        <v>357</v>
      </c>
      <c r="B31" s="183" t="s">
        <v>358</v>
      </c>
      <c r="C31" s="43" t="s">
        <v>229</v>
      </c>
      <c r="D31" s="43" t="s">
        <v>229</v>
      </c>
      <c r="E31" s="43" t="s">
        <v>179</v>
      </c>
      <c r="F31" s="43" t="s">
        <v>179</v>
      </c>
      <c r="G31" s="184"/>
      <c r="H31" s="184"/>
      <c r="I31" s="180"/>
      <c r="J31" s="180"/>
    </row>
    <row r="32" spans="1:10" s="42" customFormat="1" ht="31.5" x14ac:dyDescent="0.25">
      <c r="A32" s="177" t="s">
        <v>359</v>
      </c>
      <c r="B32" s="183" t="s">
        <v>360</v>
      </c>
      <c r="C32" s="43" t="s">
        <v>229</v>
      </c>
      <c r="D32" s="43" t="s">
        <v>229</v>
      </c>
      <c r="E32" s="43" t="s">
        <v>179</v>
      </c>
      <c r="F32" s="43" t="s">
        <v>179</v>
      </c>
      <c r="G32" s="184"/>
      <c r="H32" s="184"/>
      <c r="I32" s="180"/>
      <c r="J32" s="180"/>
    </row>
    <row r="33" spans="1:10" s="42" customFormat="1" ht="48" customHeight="1" x14ac:dyDescent="0.25">
      <c r="A33" s="177" t="s">
        <v>361</v>
      </c>
      <c r="B33" s="183" t="s">
        <v>362</v>
      </c>
      <c r="C33" s="43" t="s">
        <v>229</v>
      </c>
      <c r="D33" s="43" t="s">
        <v>229</v>
      </c>
      <c r="E33" s="43" t="s">
        <v>179</v>
      </c>
      <c r="F33" s="43" t="s">
        <v>179</v>
      </c>
      <c r="G33" s="184"/>
      <c r="H33" s="184"/>
      <c r="I33" s="180"/>
      <c r="J33" s="180"/>
    </row>
    <row r="34" spans="1:10" s="42" customFormat="1" ht="66.75" customHeight="1" x14ac:dyDescent="0.25">
      <c r="A34" s="177" t="s">
        <v>363</v>
      </c>
      <c r="B34" s="183" t="s">
        <v>364</v>
      </c>
      <c r="C34" s="43" t="s">
        <v>229</v>
      </c>
      <c r="D34" s="43" t="s">
        <v>229</v>
      </c>
      <c r="E34" s="43" t="s">
        <v>179</v>
      </c>
      <c r="F34" s="43" t="s">
        <v>179</v>
      </c>
      <c r="G34" s="184"/>
      <c r="H34" s="184"/>
      <c r="I34" s="179"/>
      <c r="J34" s="180"/>
    </row>
    <row r="35" spans="1:10" s="42" customFormat="1" ht="31.5" x14ac:dyDescent="0.25">
      <c r="A35" s="177" t="s">
        <v>365</v>
      </c>
      <c r="B35" s="183" t="s">
        <v>366</v>
      </c>
      <c r="C35" s="43" t="s">
        <v>229</v>
      </c>
      <c r="D35" s="43" t="s">
        <v>229</v>
      </c>
      <c r="E35" s="43" t="s">
        <v>179</v>
      </c>
      <c r="F35" s="43" t="s">
        <v>179</v>
      </c>
      <c r="G35" s="184"/>
      <c r="H35" s="184"/>
      <c r="I35" s="179"/>
      <c r="J35" s="180"/>
    </row>
    <row r="36" spans="1:10" ht="31.5" x14ac:dyDescent="0.25">
      <c r="A36" s="177" t="s">
        <v>367</v>
      </c>
      <c r="B36" s="183" t="s">
        <v>368</v>
      </c>
      <c r="C36" s="43" t="s">
        <v>229</v>
      </c>
      <c r="D36" s="43" t="s">
        <v>229</v>
      </c>
      <c r="E36" s="43" t="s">
        <v>179</v>
      </c>
      <c r="F36" s="43" t="s">
        <v>179</v>
      </c>
      <c r="G36" s="185"/>
      <c r="H36" s="185"/>
      <c r="I36" s="180"/>
      <c r="J36" s="180"/>
    </row>
    <row r="37" spans="1:10" ht="19.5" customHeight="1" x14ac:dyDescent="0.25">
      <c r="A37" s="177" t="s">
        <v>369</v>
      </c>
      <c r="B37" s="183" t="s">
        <v>370</v>
      </c>
      <c r="C37" s="43" t="s">
        <v>229</v>
      </c>
      <c r="D37" s="43" t="s">
        <v>229</v>
      </c>
      <c r="E37" s="43"/>
      <c r="F37" s="43"/>
      <c r="G37" s="185"/>
      <c r="H37" s="185"/>
      <c r="I37" s="180"/>
      <c r="J37" s="180"/>
    </row>
    <row r="38" spans="1:10" x14ac:dyDescent="0.25">
      <c r="A38" s="177" t="s">
        <v>371</v>
      </c>
      <c r="B38" s="178" t="s">
        <v>372</v>
      </c>
      <c r="C38" s="43" t="s">
        <v>229</v>
      </c>
      <c r="D38" s="43" t="s">
        <v>229</v>
      </c>
      <c r="E38" s="43"/>
      <c r="F38" s="43"/>
      <c r="G38" s="180"/>
      <c r="H38" s="180"/>
      <c r="I38" s="180"/>
      <c r="J38" s="180"/>
    </row>
    <row r="39" spans="1:10" ht="78.75" x14ac:dyDescent="0.25">
      <c r="A39" s="177">
        <v>2</v>
      </c>
      <c r="B39" s="183" t="s">
        <v>373</v>
      </c>
      <c r="C39" s="43" t="s">
        <v>229</v>
      </c>
      <c r="D39" s="43" t="s">
        <v>229</v>
      </c>
      <c r="E39" s="43" t="s">
        <v>179</v>
      </c>
      <c r="F39" s="43" t="s">
        <v>179</v>
      </c>
      <c r="G39" s="184"/>
      <c r="H39" s="184"/>
      <c r="I39" s="180"/>
      <c r="J39" s="180"/>
    </row>
    <row r="40" spans="1:10" x14ac:dyDescent="0.25">
      <c r="A40" s="177" t="s">
        <v>374</v>
      </c>
      <c r="B40" s="183" t="s">
        <v>375</v>
      </c>
      <c r="C40" s="43" t="s">
        <v>229</v>
      </c>
      <c r="D40" s="43" t="s">
        <v>229</v>
      </c>
      <c r="E40" s="233">
        <v>44391</v>
      </c>
      <c r="F40" s="233">
        <v>44397</v>
      </c>
      <c r="G40" s="187">
        <v>1</v>
      </c>
      <c r="H40" s="187"/>
      <c r="I40" s="180"/>
      <c r="J40" s="180"/>
    </row>
    <row r="41" spans="1:10" ht="50.25" customHeight="1" x14ac:dyDescent="0.25">
      <c r="A41" s="177" t="s">
        <v>376</v>
      </c>
      <c r="B41" s="178" t="s">
        <v>377</v>
      </c>
      <c r="C41" s="43" t="s">
        <v>229</v>
      </c>
      <c r="D41" s="43" t="s">
        <v>229</v>
      </c>
      <c r="E41" s="43" t="s">
        <v>179</v>
      </c>
      <c r="F41" s="43" t="s">
        <v>179</v>
      </c>
      <c r="G41" s="184"/>
      <c r="H41" s="184"/>
      <c r="I41" s="180"/>
      <c r="J41" s="180"/>
    </row>
    <row r="42" spans="1:10" ht="38.25" customHeight="1" x14ac:dyDescent="0.25">
      <c r="A42" s="177">
        <v>3</v>
      </c>
      <c r="B42" s="183" t="s">
        <v>378</v>
      </c>
      <c r="C42" s="43" t="s">
        <v>229</v>
      </c>
      <c r="D42" s="43" t="s">
        <v>229</v>
      </c>
      <c r="E42" s="43" t="s">
        <v>179</v>
      </c>
      <c r="F42" s="43" t="s">
        <v>179</v>
      </c>
      <c r="G42" s="184"/>
      <c r="H42" s="184"/>
      <c r="I42" s="180"/>
      <c r="J42" s="180"/>
    </row>
    <row r="43" spans="1:10" x14ac:dyDescent="0.25">
      <c r="A43" s="177" t="s">
        <v>379</v>
      </c>
      <c r="B43" s="183" t="s">
        <v>380</v>
      </c>
      <c r="C43" s="43" t="s">
        <v>229</v>
      </c>
      <c r="D43" s="43" t="s">
        <v>229</v>
      </c>
      <c r="E43" s="233">
        <v>44397</v>
      </c>
      <c r="F43" s="233">
        <v>44422</v>
      </c>
      <c r="G43" s="187">
        <v>1</v>
      </c>
      <c r="H43" s="187"/>
      <c r="I43" s="180"/>
      <c r="J43" s="180"/>
    </row>
    <row r="44" spans="1:10" x14ac:dyDescent="0.25">
      <c r="A44" s="177" t="s">
        <v>381</v>
      </c>
      <c r="B44" s="183" t="s">
        <v>382</v>
      </c>
      <c r="C44" s="43" t="s">
        <v>229</v>
      </c>
      <c r="D44" s="43" t="s">
        <v>229</v>
      </c>
      <c r="E44" s="43" t="s">
        <v>229</v>
      </c>
      <c r="F44" s="43" t="s">
        <v>229</v>
      </c>
      <c r="G44" s="187"/>
      <c r="H44" s="180"/>
      <c r="I44" s="180"/>
      <c r="J44" s="180"/>
    </row>
    <row r="45" spans="1:10" ht="88.5" customHeight="1" x14ac:dyDescent="0.25">
      <c r="A45" s="177" t="s">
        <v>383</v>
      </c>
      <c r="B45" s="183" t="s">
        <v>384</v>
      </c>
      <c r="C45" s="43" t="s">
        <v>229</v>
      </c>
      <c r="D45" s="43" t="s">
        <v>229</v>
      </c>
      <c r="E45" s="43" t="s">
        <v>179</v>
      </c>
      <c r="F45" s="43" t="s">
        <v>179</v>
      </c>
      <c r="G45" s="180"/>
      <c r="H45" s="180"/>
      <c r="I45" s="180"/>
      <c r="J45" s="180"/>
    </row>
    <row r="46" spans="1:10" ht="163.5" customHeight="1" x14ac:dyDescent="0.25">
      <c r="A46" s="177" t="s">
        <v>385</v>
      </c>
      <c r="B46" s="183" t="s">
        <v>386</v>
      </c>
      <c r="C46" s="43" t="s">
        <v>229</v>
      </c>
      <c r="D46" s="43" t="s">
        <v>229</v>
      </c>
      <c r="E46" s="43" t="s">
        <v>179</v>
      </c>
      <c r="F46" s="43" t="s">
        <v>179</v>
      </c>
      <c r="G46" s="180"/>
      <c r="H46" s="180"/>
      <c r="I46" s="180"/>
      <c r="J46" s="180"/>
    </row>
    <row r="47" spans="1:10" ht="24" customHeight="1" x14ac:dyDescent="0.25">
      <c r="A47" s="177" t="s">
        <v>387</v>
      </c>
      <c r="B47" s="183" t="s">
        <v>388</v>
      </c>
      <c r="C47" s="43" t="s">
        <v>229</v>
      </c>
      <c r="D47" s="43" t="s">
        <v>229</v>
      </c>
      <c r="E47" s="43" t="s">
        <v>487</v>
      </c>
      <c r="F47" s="43" t="s">
        <v>487</v>
      </c>
      <c r="G47" s="180"/>
      <c r="H47" s="180"/>
      <c r="I47" s="180"/>
      <c r="J47" s="180"/>
    </row>
    <row r="48" spans="1:10" ht="31.5" x14ac:dyDescent="0.25">
      <c r="A48" s="177" t="s">
        <v>389</v>
      </c>
      <c r="B48" s="178" t="s">
        <v>390</v>
      </c>
      <c r="C48" s="43" t="s">
        <v>229</v>
      </c>
      <c r="D48" s="43" t="s">
        <v>229</v>
      </c>
      <c r="E48" s="43"/>
      <c r="F48" s="43"/>
      <c r="G48" s="180"/>
      <c r="H48" s="180"/>
      <c r="I48" s="180"/>
      <c r="J48" s="180"/>
    </row>
    <row r="49" spans="1:10" ht="31.5" x14ac:dyDescent="0.25">
      <c r="A49" s="177">
        <v>4</v>
      </c>
      <c r="B49" s="183" t="s">
        <v>391</v>
      </c>
      <c r="C49" s="43" t="s">
        <v>229</v>
      </c>
      <c r="D49" s="43" t="s">
        <v>229</v>
      </c>
      <c r="E49" s="43" t="s">
        <v>179</v>
      </c>
      <c r="F49" s="43" t="s">
        <v>179</v>
      </c>
      <c r="G49" s="180"/>
      <c r="H49" s="180"/>
      <c r="I49" s="180"/>
      <c r="J49" s="180"/>
    </row>
    <row r="50" spans="1:10" ht="84.75" customHeight="1" x14ac:dyDescent="0.25">
      <c r="A50" s="177" t="s">
        <v>392</v>
      </c>
      <c r="B50" s="183" t="s">
        <v>393</v>
      </c>
      <c r="C50" s="43" t="s">
        <v>229</v>
      </c>
      <c r="D50" s="43" t="s">
        <v>229</v>
      </c>
      <c r="E50" s="43" t="s">
        <v>179</v>
      </c>
      <c r="F50" s="43" t="s">
        <v>179</v>
      </c>
      <c r="G50" s="184"/>
      <c r="H50" s="184"/>
      <c r="I50" s="180"/>
      <c r="J50" s="180"/>
    </row>
    <row r="51" spans="1:10" ht="63.75" customHeight="1" x14ac:dyDescent="0.25">
      <c r="A51" s="177" t="s">
        <v>394</v>
      </c>
      <c r="B51" s="183" t="s">
        <v>395</v>
      </c>
      <c r="C51" s="43" t="s">
        <v>229</v>
      </c>
      <c r="D51" s="43" t="s">
        <v>229</v>
      </c>
      <c r="E51" s="43" t="s">
        <v>179</v>
      </c>
      <c r="F51" s="43" t="s">
        <v>179</v>
      </c>
      <c r="G51" s="184"/>
      <c r="H51" s="184"/>
      <c r="I51" s="180"/>
      <c r="J51" s="180"/>
    </row>
    <row r="52" spans="1:10" ht="69.75" customHeight="1" x14ac:dyDescent="0.25">
      <c r="A52" s="177" t="s">
        <v>396</v>
      </c>
      <c r="B52" s="183" t="s">
        <v>397</v>
      </c>
      <c r="C52" s="43" t="s">
        <v>229</v>
      </c>
      <c r="D52" s="43" t="s">
        <v>229</v>
      </c>
      <c r="E52" s="43" t="s">
        <v>179</v>
      </c>
      <c r="F52" s="43" t="s">
        <v>179</v>
      </c>
      <c r="G52" s="184"/>
      <c r="H52" s="184"/>
      <c r="I52" s="180"/>
      <c r="J52" s="180"/>
    </row>
    <row r="53" spans="1:10" ht="31.5" x14ac:dyDescent="0.25">
      <c r="A53" s="177" t="s">
        <v>398</v>
      </c>
      <c r="B53" s="186" t="s">
        <v>399</v>
      </c>
      <c r="C53" s="43" t="s">
        <v>229</v>
      </c>
      <c r="D53" s="43" t="s">
        <v>229</v>
      </c>
      <c r="E53" s="234" t="s">
        <v>488</v>
      </c>
      <c r="F53" s="234" t="s">
        <v>489</v>
      </c>
      <c r="G53" s="184">
        <v>1</v>
      </c>
      <c r="H53" s="184">
        <v>1</v>
      </c>
      <c r="I53" s="180"/>
      <c r="J53" s="180"/>
    </row>
    <row r="54" spans="1:10" ht="34.5" customHeight="1" x14ac:dyDescent="0.25">
      <c r="A54" s="177" t="s">
        <v>400</v>
      </c>
      <c r="B54" s="183" t="s">
        <v>401</v>
      </c>
      <c r="C54" s="43" t="s">
        <v>229</v>
      </c>
      <c r="D54" s="43" t="s">
        <v>229</v>
      </c>
      <c r="E54" s="43" t="s">
        <v>179</v>
      </c>
      <c r="F54" s="43" t="s">
        <v>179</v>
      </c>
      <c r="G54" s="184"/>
      <c r="H54" s="184"/>
      <c r="I54" s="180"/>
      <c r="J54" s="180"/>
    </row>
  </sheetData>
  <mergeCells count="21">
    <mergeCell ref="A16:J16"/>
    <mergeCell ref="A19:J19"/>
    <mergeCell ref="J21:J23"/>
    <mergeCell ref="C22:D22"/>
    <mergeCell ref="E22:F22"/>
    <mergeCell ref="A21:A23"/>
    <mergeCell ref="B21:B23"/>
    <mergeCell ref="C21:F21"/>
    <mergeCell ref="G21:G23"/>
    <mergeCell ref="H21:H23"/>
    <mergeCell ref="I21:I23"/>
    <mergeCell ref="A11:J11"/>
    <mergeCell ref="A12:J12"/>
    <mergeCell ref="A13:J13"/>
    <mergeCell ref="A14:J14"/>
    <mergeCell ref="A15:J15"/>
    <mergeCell ref="A5:J5"/>
    <mergeCell ref="A7:J7"/>
    <mergeCell ref="A8:J8"/>
    <mergeCell ref="A9:J9"/>
    <mergeCell ref="A10:J10"/>
  </mergeCells>
  <phoneticPr fontId="7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2016-01-18T11:30:33Z</cp:lastPrinted>
  <dcterms:created xsi:type="dcterms:W3CDTF">2015-08-16T15:31:05Z</dcterms:created>
  <dcterms:modified xsi:type="dcterms:W3CDTF">2025-03-12T11:50:56Z</dcterms:modified>
</cp:coreProperties>
</file>