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5615" yWindow="135" windowWidth="12930" windowHeight="12585" tabRatio="760" firstSheet="8" activeTab="11"/>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ПС'!$A$2:$T$67</definedName>
    <definedName name="_xlnm.Print_Area" localSheetId="3">'3.2 паспорт Техсостояние ЛЭП'!$A$1:$AA$71</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I31" i="28" l="1"/>
  <c r="A5" i="7"/>
  <c r="B53" i="22" l="1"/>
  <c r="B48" i="22"/>
  <c r="B30" i="22" l="1"/>
  <c r="B29" i="22" s="1"/>
  <c r="B58" i="22" l="1"/>
  <c r="B57" i="22" l="1"/>
  <c r="C67" i="22" s="1"/>
  <c r="C69" i="22" l="1"/>
  <c r="B43" i="22" l="1"/>
  <c r="B33" i="22"/>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G63" i="28" l="1"/>
  <c r="G61" i="28"/>
  <c r="G57" i="28"/>
  <c r="C55" i="28"/>
  <c r="G53" i="28"/>
  <c r="C52" i="28"/>
  <c r="G49" i="28"/>
  <c r="G47" i="28"/>
  <c r="C45" i="28"/>
  <c r="C42" i="28"/>
  <c r="F42" i="28" s="1"/>
  <c r="E42" i="28" s="1"/>
  <c r="C39" i="28"/>
  <c r="F39" i="28" s="1"/>
  <c r="E39" i="28" s="1"/>
  <c r="C37" i="28"/>
  <c r="F37" i="28" s="1"/>
  <c r="E37" i="28" s="1"/>
  <c r="C34" i="28"/>
  <c r="H28" i="28"/>
  <c r="G27" i="28"/>
  <c r="J25" i="28"/>
  <c r="C54" i="28"/>
  <c r="C48" i="28"/>
  <c r="F48" i="28" s="1"/>
  <c r="E48" i="28" s="1"/>
  <c r="G46" i="28"/>
  <c r="G30" i="28"/>
  <c r="G24" i="28"/>
  <c r="C56" i="28"/>
  <c r="G54" i="28"/>
  <c r="C53" i="28"/>
  <c r="F53" i="28" s="1"/>
  <c r="E53" i="28" s="1"/>
  <c r="G50" i="28"/>
  <c r="C49" i="28"/>
  <c r="F49" i="28" s="1"/>
  <c r="E49" i="28" s="1"/>
  <c r="C46" i="28"/>
  <c r="F46" i="28" s="1"/>
  <c r="E46" i="28" s="1"/>
  <c r="G44" i="28"/>
  <c r="C41" i="28"/>
  <c r="F41" i="28" s="1"/>
  <c r="E41" i="28" s="1"/>
  <c r="C36" i="28"/>
  <c r="F36" i="28" s="1"/>
  <c r="E36" i="28" s="1"/>
  <c r="G32" i="28"/>
  <c r="E32" i="28" s="1"/>
  <c r="G31" i="28"/>
  <c r="E31" i="28" s="1"/>
  <c r="G28" i="28"/>
  <c r="J26" i="28"/>
  <c r="H25" i="28"/>
  <c r="G56" i="28"/>
  <c r="G34" i="28"/>
  <c r="C30" i="28"/>
  <c r="C49" i="7" s="1"/>
  <c r="G26" i="28"/>
  <c r="D26" i="28" s="1"/>
  <c r="G64" i="28"/>
  <c r="G62" i="28"/>
  <c r="G60" i="28"/>
  <c r="C57" i="28"/>
  <c r="F57" i="28" s="1"/>
  <c r="E57" i="28" s="1"/>
  <c r="G55" i="28"/>
  <c r="G52" i="28"/>
  <c r="G48" i="28"/>
  <c r="C47" i="28"/>
  <c r="F47" i="28" s="1"/>
  <c r="E47" i="28" s="1"/>
  <c r="G45" i="28"/>
  <c r="C44" i="28"/>
  <c r="F44" i="28" s="1"/>
  <c r="E44" i="28" s="1"/>
  <c r="C40" i="28"/>
  <c r="F40" i="28" s="1"/>
  <c r="E40" i="28" s="1"/>
  <c r="C38" i="28"/>
  <c r="F38" i="28" s="1"/>
  <c r="E38" i="28" s="1"/>
  <c r="G33" i="28"/>
  <c r="E33" i="28" s="1"/>
  <c r="C32" i="28"/>
  <c r="C31" i="28"/>
  <c r="G29" i="28"/>
  <c r="H26" i="28"/>
  <c r="G25" i="28"/>
  <c r="D25" i="28" s="1"/>
  <c r="C50" i="28"/>
  <c r="F50" i="28" s="1"/>
  <c r="E50" i="28" s="1"/>
  <c r="C33" i="28"/>
  <c r="J28" i="28"/>
  <c r="K28" i="28" s="1"/>
  <c r="F56" i="28" l="1"/>
  <c r="E56" i="28" s="1"/>
  <c r="F54" i="28"/>
  <c r="E54" i="28" s="1"/>
  <c r="F52" i="28"/>
  <c r="E52" i="28" s="1"/>
  <c r="F55" i="28"/>
  <c r="E55" i="28" s="1"/>
  <c r="F45" i="28"/>
  <c r="E45" i="28" s="1"/>
  <c r="I26" i="28"/>
  <c r="C26" i="28"/>
  <c r="E29" i="28"/>
  <c r="I25" i="28"/>
  <c r="C25" i="28"/>
  <c r="K26" i="28"/>
  <c r="F26" i="28"/>
  <c r="E26" i="28" s="1"/>
  <c r="E28" i="28"/>
  <c r="D28" i="28"/>
  <c r="K25" i="28"/>
  <c r="F25" i="28"/>
  <c r="E25" i="28" s="1"/>
  <c r="I28" i="28"/>
  <c r="C28" i="28"/>
  <c r="A15" i="7" l="1"/>
  <c r="A15" i="22" l="1"/>
  <c r="A15" i="23"/>
  <c r="B21" i="22"/>
  <c r="A15" i="16"/>
  <c r="C15" i="27"/>
  <c r="A15" i="6"/>
  <c r="F19" i="24"/>
  <c r="A16" i="25"/>
  <c r="E14" i="26"/>
  <c r="A14" i="28"/>
  <c r="O17" i="29"/>
  <c r="E15" i="14"/>
  <c r="I30" i="28" l="1"/>
  <c r="B27" i="22" l="1"/>
  <c r="B25" i="22"/>
  <c r="C28" i="6"/>
  <c r="C30" i="6"/>
  <c r="B26" i="22" s="1"/>
  <c r="B86" i="22" s="1"/>
  <c r="B34" i="22" l="1"/>
  <c r="B49" i="22"/>
  <c r="B63" i="22" s="1"/>
  <c r="B44" i="22"/>
  <c r="B54" i="22"/>
  <c r="C29" i="6"/>
  <c r="E30" i="28" l="1"/>
  <c r="F30" i="28"/>
  <c r="F34" i="28" s="1"/>
  <c r="E34" i="28" s="1"/>
  <c r="B65" i="22"/>
  <c r="B61" i="22" s="1"/>
  <c r="K24" i="28" l="1"/>
  <c r="H27" i="28" l="1"/>
  <c r="I27" i="28" s="1"/>
  <c r="D24" i="28" l="1"/>
  <c r="B67" i="22" s="1"/>
  <c r="B66" i="22" l="1"/>
  <c r="D67" i="22"/>
  <c r="J24" i="28"/>
  <c r="J27" i="28" l="1"/>
  <c r="K27" i="28" l="1"/>
  <c r="D27" i="28"/>
  <c r="J29" i="28"/>
  <c r="K29" i="28" l="1"/>
  <c r="D29" i="28"/>
  <c r="D30" i="28" l="1"/>
  <c r="B69" i="22" s="1"/>
  <c r="D69" i="22" l="1"/>
  <c r="B68" i="22"/>
  <c r="D38" i="28" l="1"/>
  <c r="D55" i="28"/>
  <c r="D46" i="28"/>
  <c r="D52" i="28" l="1"/>
  <c r="D47" i="28" l="1"/>
  <c r="D39" i="28"/>
  <c r="D56" i="28"/>
  <c r="E25" i="6" s="1"/>
  <c r="D45" i="28"/>
  <c r="D37" i="28"/>
  <c r="D54" i="28"/>
  <c r="D25" i="6" s="1"/>
  <c r="D50" i="28"/>
  <c r="D57" i="28"/>
  <c r="D42" i="28"/>
  <c r="H30" i="28" l="1"/>
  <c r="H34" i="28" s="1"/>
  <c r="H24" i="28" l="1"/>
  <c r="H29" i="28" l="1"/>
  <c r="C24" i="28"/>
  <c r="C48" i="7" s="1"/>
  <c r="I24" i="28"/>
  <c r="E24" i="28" l="1"/>
  <c r="F24" i="28"/>
  <c r="F27" i="28" s="1"/>
  <c r="E27" i="28" s="1"/>
  <c r="I29" i="28"/>
  <c r="C29" i="28"/>
  <c r="C27" i="28" s="1"/>
  <c r="K61" i="28" l="1"/>
  <c r="I62" i="28" l="1"/>
  <c r="J61" i="28"/>
  <c r="I60" i="28"/>
  <c r="K62" i="28"/>
  <c r="K64" i="28" l="1"/>
  <c r="K60" i="28"/>
  <c r="J60" i="28"/>
  <c r="J64" i="28"/>
  <c r="J62" i="28"/>
  <c r="C61" i="28" l="1"/>
  <c r="F61" i="28" s="1"/>
  <c r="E61" i="28" s="1"/>
  <c r="H62" i="28"/>
  <c r="C63" i="28"/>
  <c r="F63" i="28" s="1"/>
  <c r="E63" i="28" s="1"/>
  <c r="H60" i="28"/>
  <c r="K63" i="28" l="1"/>
  <c r="J63" i="28" l="1"/>
  <c r="K39" i="28" l="1"/>
  <c r="K47" i="28"/>
  <c r="H41" i="28"/>
  <c r="H49" i="28"/>
  <c r="H40" i="28"/>
  <c r="H48" i="28"/>
  <c r="K40" i="28"/>
  <c r="K48" i="28"/>
  <c r="H47" i="28"/>
  <c r="H39" i="28"/>
  <c r="J48" i="28"/>
  <c r="J40" i="28"/>
  <c r="K49" i="28"/>
  <c r="K41" i="28"/>
  <c r="J49" i="28"/>
  <c r="J41" i="28"/>
  <c r="I40" i="28" l="1"/>
  <c r="I48" i="28"/>
  <c r="I41" i="28"/>
  <c r="I49" i="28"/>
  <c r="I47" i="28"/>
  <c r="I39" i="28"/>
  <c r="K30" i="28" l="1"/>
  <c r="J33" i="28"/>
  <c r="K33" i="28" s="1"/>
  <c r="J32" i="28"/>
  <c r="K32" i="28" s="1"/>
  <c r="J31" i="28"/>
  <c r="K31" i="28" s="1"/>
  <c r="K56" i="28" l="1"/>
  <c r="K52" i="28"/>
  <c r="K54" i="28" l="1"/>
  <c r="K37" i="28"/>
  <c r="K45" i="28"/>
  <c r="J44" i="28"/>
  <c r="J53" i="28"/>
  <c r="J36" i="28"/>
  <c r="K44" i="28"/>
  <c r="K36" i="28"/>
  <c r="K53" i="28"/>
  <c r="K55" i="28"/>
  <c r="K46" i="28"/>
  <c r="K38" i="28"/>
  <c r="K57" i="28" l="1"/>
  <c r="K42" i="28"/>
  <c r="K50" i="28"/>
  <c r="I54" i="28" l="1"/>
  <c r="I37" i="28"/>
  <c r="I45" i="28"/>
  <c r="I55" i="28"/>
  <c r="I46" i="28"/>
  <c r="I38" i="28"/>
  <c r="I61" i="28"/>
  <c r="I64" i="28"/>
  <c r="H61" i="28"/>
  <c r="I44" i="28" l="1"/>
  <c r="I36" i="28"/>
  <c r="I53" i="28"/>
  <c r="C60" i="28"/>
  <c r="F60" i="28" s="1"/>
  <c r="E60" i="28" s="1"/>
  <c r="C64" i="28" l="1"/>
  <c r="F64" i="28" s="1"/>
  <c r="E64" i="28" s="1"/>
  <c r="H64" i="28"/>
  <c r="J34" i="28" l="1"/>
  <c r="K34" i="28" s="1"/>
  <c r="J38" i="28" l="1"/>
  <c r="J46" i="28"/>
  <c r="J55" i="28"/>
  <c r="J39" i="28" l="1"/>
  <c r="J47" i="28"/>
  <c r="J56" i="28" l="1"/>
  <c r="J45" i="28" l="1"/>
  <c r="J37" i="28"/>
  <c r="J54" i="28"/>
  <c r="J52" i="28"/>
  <c r="J57" i="28" l="1"/>
  <c r="J42" i="28"/>
  <c r="J50" i="28"/>
  <c r="J30" i="28" l="1"/>
  <c r="H54" i="28" l="1"/>
  <c r="H37" i="28"/>
  <c r="H45" i="28"/>
  <c r="H38" i="28" l="1"/>
  <c r="H55" i="28"/>
  <c r="H46" i="28"/>
  <c r="H44" i="28"/>
  <c r="H53" i="28"/>
  <c r="H36" i="28"/>
  <c r="I63" i="28" l="1"/>
  <c r="I56" i="28"/>
  <c r="I52" i="28"/>
  <c r="H52" i="28" l="1"/>
  <c r="H56" i="28"/>
  <c r="H57" i="28" l="1"/>
  <c r="H50" i="28"/>
  <c r="H42" i="28"/>
  <c r="C62" i="28"/>
  <c r="F62" i="28" s="1"/>
  <c r="E62" i="28" s="1"/>
  <c r="H63" i="28"/>
  <c r="I57" i="28"/>
  <c r="I42" i="28"/>
  <c r="I50" i="28"/>
</calcChain>
</file>

<file path=xl/sharedStrings.xml><?xml version="1.0" encoding="utf-8"?>
<sst xmlns="http://schemas.openxmlformats.org/spreadsheetml/2006/main" count="2307" uniqueCount="651">
  <si>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</si>
  <si>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</si>
  <si>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</si>
  <si>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</si>
  <si>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</si>
  <si>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</si>
  <si>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</si>
  <si>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</si>
  <si>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</si>
  <si>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</si>
  <si>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</si>
  <si>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</si>
  <si>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</si>
  <si>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</si>
  <si>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</si>
  <si>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</si>
  <si>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</si>
  <si>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</si>
  <si>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</si>
  <si>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</si>
  <si>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</si>
  <si>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</si>
  <si>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</si>
  <si>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</si>
  <si>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</si>
  <si>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</si>
  <si>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</si>
  <si>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</si>
  <si>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</si>
  <si>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</si>
  <si>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</si>
  <si>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</si>
  <si>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</si>
  <si>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</si>
  <si>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</si>
  <si>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</si>
  <si>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</si>
  <si>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</si>
  <si>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</si>
  <si>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</si>
  <si>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</si>
  <si>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</si>
  <si>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</si>
  <si>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</si>
  <si>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</si>
  <si>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</si>
  <si>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</si>
  <si>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</si>
  <si>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</si>
  <si>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</si>
  <si>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</si>
  <si>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</si>
  <si>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</si>
  <si>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</si>
  <si>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</si>
  <si>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</si>
  <si>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</si>
  <si>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</si>
  <si>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</si>
  <si>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</si>
  <si>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</si>
  <si>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</si>
  <si>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</si>
  <si>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</si>
  <si>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</si>
  <si>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</si>
  <si>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</si>
  <si>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</si>
  <si>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</si>
  <si>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</si>
  <si>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</si>
  <si>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</si>
  <si>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</si>
  <si>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</si>
  <si>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</si>
  <si>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</si>
  <si>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</si>
  <si>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</si>
  <si>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</si>
  <si>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</si>
  <si>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</si>
  <si>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</si>
  <si>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</si>
  <si>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</si>
  <si>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</si>
  <si>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</si>
  <si>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</si>
  <si>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</si>
  <si>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</si>
  <si>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</si>
  <si>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</si>
  <si>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</si>
  <si>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</si>
  <si>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</si>
  <si>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</si>
  <si>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</si>
  <si>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</si>
  <si>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</si>
  <si>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</si>
  <si>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</si>
  <si>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</si>
  <si>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</si>
  <si>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</si>
  <si>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</si>
  <si>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</si>
  <si>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</si>
  <si>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</si>
  <si>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</si>
  <si>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</si>
  <si>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</si>
  <si>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</si>
  <si>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</si>
  <si>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</si>
  <si>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</si>
  <si>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</si>
  <si>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</si>
  <si>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</si>
  <si>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</si>
  <si>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</si>
  <si>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</si>
  <si>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</si>
  <si>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</si>
  <si>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</si>
  <si>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</si>
  <si>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</si>
  <si>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</si>
  <si>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</si>
  <si>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</si>
  <si>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</si>
  <si>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</si>
  <si>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</si>
  <si>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</si>
  <si>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</si>
  <si>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</si>
  <si>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</si>
  <si>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</si>
  <si>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</si>
  <si>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</si>
  <si>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</si>
  <si>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</si>
  <si>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</si>
  <si>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</si>
  <si>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</si>
  <si>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</si>
  <si>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</si>
  <si>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</si>
  <si>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</si>
  <si>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</si>
  <si>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</si>
  <si>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</si>
  <si>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</si>
  <si>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</si>
  <si>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</si>
  <si>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</si>
  <si>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</si>
  <si>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</si>
  <si>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</si>
  <si>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</si>
  <si>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</si>
  <si>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</si>
  <si>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</si>
  <si>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</si>
  <si>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</si>
  <si>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</si>
  <si>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</si>
  <si>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</si>
  <si>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</si>
  <si>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</si>
  <si>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</si>
  <si>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</si>
  <si>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</si>
  <si>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</si>
  <si>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</si>
  <si>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</si>
  <si>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</si>
  <si>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</si>
  <si>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</si>
  <si>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</si>
  <si>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</si>
  <si>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</si>
  <si>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</si>
  <si>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</si>
  <si>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</si>
  <si>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</si>
  <si>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</si>
  <si>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</si>
  <si>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</si>
  <si>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</si>
  <si>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</si>
  <si>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</si>
  <si>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</si>
  <si>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</si>
  <si>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</si>
  <si>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</si>
  <si>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</si>
  <si>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</si>
  <si>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</si>
  <si>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</si>
  <si>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</si>
  <si>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</si>
  <si>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</si>
  <si>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</si>
  <si>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</si>
  <si>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</si>
  <si>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</si>
  <si>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</si>
  <si>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</si>
  <si>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</si>
  <si>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</si>
  <si>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</si>
  <si>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</si>
  <si>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</si>
  <si>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</si>
  <si>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</si>
  <si>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</si>
  <si>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</si>
  <si>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</si>
  <si>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</si>
  <si>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</si>
  <si>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</si>
  <si>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</si>
  <si>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</si>
  <si>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</si>
  <si>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</si>
  <si>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</si>
  <si>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</si>
  <si>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</si>
  <si>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</si>
  <si>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</si>
  <si>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</si>
  <si>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</si>
  <si>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</si>
  <si>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</si>
  <si>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</si>
  <si>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</si>
  <si>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</si>
  <si>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</si>
  <si>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</si>
  <si>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</si>
  <si>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</si>
  <si>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</si>
  <si>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</si>
  <si>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</si>
  <si>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</si>
  <si>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</si>
  <si>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</si>
  <si>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</si>
  <si>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</si>
  <si>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</si>
  <si>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</si>
  <si>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</si>
  <si>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</si>
  <si>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</si>
  <si>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</si>
  <si>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</si>
  <si>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</si>
  <si>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</si>
  <si>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</si>
  <si>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</si>
  <si>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</si>
  <si>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</si>
  <si>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</si>
  <si>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</si>
  <si>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</si>
  <si>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</si>
  <si>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</si>
  <si>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</si>
  <si>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</si>
  <si>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</si>
  <si>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</si>
  <si>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</si>
  <si>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</si>
  <si>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</si>
  <si>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</si>
  <si>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</si>
  <si>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</si>
  <si>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</si>
  <si>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</si>
  <si>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</si>
  <si>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</si>
  <si>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</si>
  <si>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</si>
  <si>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</si>
  <si>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</si>
  <si>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</si>
  <si>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</si>
  <si>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</si>
  <si>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</si>
  <si>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</si>
  <si>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</si>
  <si>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</si>
  <si>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</si>
  <si>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</si>
  <si>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</si>
  <si>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</si>
  <si>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</si>
  <si>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</si>
  <si>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</si>
  <si>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</si>
  <si>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</si>
  <si>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</si>
  <si>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</si>
  <si>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</si>
  <si>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</si>
  <si>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</si>
  <si>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</si>
  <si>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</si>
  <si>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</si>
  <si>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</si>
  <si>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</si>
  <si>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</si>
  <si>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</si>
  <si>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</si>
  <si>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</si>
  <si>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</si>
  <si>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</si>
  <si>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</si>
  <si>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</si>
  <si>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</si>
  <si>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</si>
  <si>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</si>
  <si>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</si>
  <si>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</si>
  <si>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</si>
  <si>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</si>
  <si>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</si>
  <si>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</si>
  <si>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</si>
  <si>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</si>
  <si>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</si>
  <si>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</si>
  <si>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</si>
  <si>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</si>
  <si>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</si>
  <si>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</si>
  <si>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</si>
  <si>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</si>
  <si>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</si>
  <si>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</si>
  <si>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</si>
  <si>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</si>
  <si>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</si>
  <si>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</si>
  <si>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</si>
  <si>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</si>
  <si>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</si>
  <si>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</si>
  <si>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</si>
  <si>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</si>
  <si>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</si>
  <si>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</si>
  <si>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</si>
  <si>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</si>
  <si>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</si>
  <si>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</si>
  <si>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</si>
  <si>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</si>
  <si>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</si>
  <si>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</si>
  <si>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</si>
  <si>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</si>
  <si>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</si>
  <si>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</si>
  <si>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</si>
  <si>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</si>
  <si>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</si>
  <si>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</si>
  <si>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</si>
  <si>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</si>
  <si>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</si>
  <si>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</si>
  <si>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</si>
  <si>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</si>
  <si>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</si>
  <si>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</si>
  <si>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</si>
  <si>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</si>
  <si>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</si>
  <si>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</si>
  <si>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</si>
  <si>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</si>
  <si>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</si>
  <si>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</si>
  <si>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</si>
  <si>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</si>
  <si>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</si>
  <si>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</si>
  <si>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</si>
  <si>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</si>
  <si>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</si>
  <si>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</si>
  <si>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</si>
  <si>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</si>
  <si>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</si>
  <si>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</si>
  <si>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</si>
  <si>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</si>
  <si>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</si>
  <si>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</si>
  <si>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</si>
  <si>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</si>
  <si>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</si>
  <si>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</si>
  <si>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</si>
  <si>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</si>
  <si>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</si>
  <si>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</si>
  <si>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</si>
  <si>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</si>
  <si>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</si>
  <si>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</si>
  <si>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</si>
  <si>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</si>
  <si>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</si>
  <si>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</si>
  <si>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</si>
  <si>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</si>
  <si>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</si>
  <si>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</si>
  <si>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</si>
  <si>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</si>
  <si>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</si>
  <si>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</si>
  <si>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</si>
  <si>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</si>
  <si>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</si>
  <si>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</si>
  <si>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</si>
  <si>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</si>
  <si>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</si>
  <si>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</si>
  <si>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</si>
  <si>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</si>
  <si>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</si>
  <si>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</si>
  <si>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</si>
  <si>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</si>
  <si>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</si>
  <si>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</si>
  <si>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</si>
  <si>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</si>
  <si>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</si>
  <si>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</si>
  <si>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</si>
  <si>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</si>
  <si>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</si>
  <si>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</si>
  <si>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</si>
  <si>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</si>
  <si>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</si>
  <si>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</si>
  <si>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</si>
  <si>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</si>
  <si>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</si>
  <si>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</si>
  <si>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</si>
  <si>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</si>
  <si>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</si>
  <si>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</si>
  <si>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</si>
  <si>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</si>
  <si>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</si>
  <si>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</si>
  <si>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</si>
  <si>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</si>
  <si>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</si>
  <si>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</si>
  <si>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</si>
  <si>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</si>
  <si>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</si>
  <si>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</si>
  <si>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</si>
  <si>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</si>
  <si>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</si>
  <si>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</si>
  <si>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</si>
  <si>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</si>
  <si>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</si>
  <si>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</si>
  <si>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</si>
  <si>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L_Che376</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</si>
  <si>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</si>
  <si>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Ф-2 ПС 35 кВ Беной  протяженностью 3,91 км, ВЛ 0,4 кВ Ф-9 ПС 35 кВ Беной 10,16 км, ВЛ 0,4 кВ Ф-10 ПС 35 кВ Беной 2,65 км, ВЛ 0,4 кВ Ф-2 ПС 35 кВ Ножай-Юрт 17,20 км, ВЛ 0,4 кВ Ф-3 ПС 35 кВ Ножай-Юрт 18,35 км, ВЛ 0,4 кВ Ф-4 ПС 35 кВ Ножай-Юрт 8,22 км, ВЛ 0,4 кВ Ф-5 ПС 35 кВ Ножай-Юрт 18,74 км, ВЛ 0,4 кВ Ф-1 ПС 35 кВ Саясан 4,98 км, ВЛ 0,4 кВ Ф-2 ПС 35 кВ Саясан 2,35 км, ВЛ 0,4 кВ Ф-4 ПС 35 кВ Саясан 6,39 км, строительство ВЛ 10 кВ Ф-9 ПС 35 кВ Беной 0,30 км, ВЛ 10 кВ Ф-10 ПС 35 кВ Беной 0,75 км, ВЛ 10 кВ Ф-2 ПС 35 кВ Ножай-Юрт 0,80 км, ВЛ 10 кВ Ф-3 ПС 35 кВ Ножай-Юрт 0,76 км, ВЛ 10 кВ Ф-4 ПС 35 кВ Ножай-Юрт 0,47 км, ВЛ 10 кВ Ф-5 ПС 35 кВ Ножай-Юрт 0,31 км,  ВЛ 10 кВ Ф-1 ПС 35 кВ Саясан 1,10 км, реконструкция ТП Ф-2 ПС 35 кВ Беной 0,10 МВА, ТП Ф-9 ПС 35 кВ Беной 0,81 МВА, ТП Ф-10 ПС 35 кВ Беной 0,25 МВА, ТП Ф-2 ПС 35 кВ Ножай-Юрт 0,56 МВА, ТП Ф-3 ПС 35 кВ Ножай-Юрт 0,32 МВА, ТП Ф-5 ПС 35 кВ Ножай-Юрт 0,41 МВА, ТП Ф-1 ПС 35 кВ Саясан 0,14 МВА, ТП Ф-2 ПС 35 кВ Саясан 0,10 МВА, ТП Ф-4 ПС 35 кВ Саясан 0,26 МВА, строительство ТП Ф-9 ПС 35 кВ Беной 0,16 МВА, ТП Ф-10 ПС 35 кВ Беной 0,16 МВА, ТП Ф-2 ПС 35 кВ Ножай-Юрт 0,223 МВА, ТП Ф-3 ПС 35 кВ Ножай-Юрт 0,383 МВА, ТП Ф-4 ПС 35 кВ Ножай-Юрт 0,16 МВА, ТП Ф-5 ПС 35 кВ Ножай-Юрт 0,16 МВА, ТП Ф-1 ПС 35 кВ Саясан 0,063 МВА трансформаторной мощности в рамках "Плана (программы) снижения потерь электрической энергии в электрических сетях АО "Чеченэнерго". Ножай-Юртовские РЭС</t>
  </si>
  <si>
    <t xml:space="preserve"> ВЛ 0,4 кВ Ф-2 ПС 35 кВ Беной ТП 2-2</t>
  </si>
  <si>
    <t>АС-35</t>
  </si>
  <si>
    <t>СИП 4х50, СИП 4х70</t>
  </si>
  <si>
    <t>ВЛ</t>
  </si>
  <si>
    <t>СВ-110, СВ-95</t>
  </si>
  <si>
    <t>не осуществлялось</t>
  </si>
  <si>
    <t xml:space="preserve"> ВЛ 0,4 кВ Ф-9 ПС 35 кВ Беной ТП 9-1</t>
  </si>
  <si>
    <t xml:space="preserve"> ВЛ 0,4 кВ Ф-9 ПС 35 кВ Беной ТП 9-2</t>
  </si>
  <si>
    <t>ВЛ 0,4 кВ Ф-9 ПС 35 кВ Беной ТП 9-7А</t>
  </si>
  <si>
    <t xml:space="preserve"> ВЛ 0,4 кВ Ф-9 ПС 35 кВ Беной ТП 9-7</t>
  </si>
  <si>
    <t xml:space="preserve"> ВЛ 0,4 кВ Ф-10 ПС 35 кВ Беной ТП 10-11А</t>
  </si>
  <si>
    <t>ВЛ 0,4 кВ Ф-10 ПС 35 кВ Беной ТП 10-11</t>
  </si>
  <si>
    <t>ВЛ 0,4 кВ Ф-2 ПС 35 кВ Ножай-Юрт ТП 2-9</t>
  </si>
  <si>
    <t xml:space="preserve"> ВЛ 0,4 кВ Ф-2 ПС 35 кВ Ножай-Юрт ТП 2-9А</t>
  </si>
  <si>
    <t>ВЛ 0,4 кВ Ф-2 ПС 35 кВ Ножай-Юрт ТП 2-10</t>
  </si>
  <si>
    <t>ВЛ 0,4 кВ Ф-2 ПС 35 кВ Ножай-Юрт ТП 2-11</t>
  </si>
  <si>
    <t>ВЛ 0,4 кВ Ф-2 ПС 35 кВ Ножай-Юрт ТП 2-14А</t>
  </si>
  <si>
    <t>ВЛ 0,4 кВ Ф-2 ПС 35 кВ Ножай-Юрт ТП 2-14</t>
  </si>
  <si>
    <t>ВЛ 0,4 кВ Ф-2 ПС 35 кВ Ножай-Юрт ТП 2-32</t>
  </si>
  <si>
    <t xml:space="preserve"> ВЛ 0,4 кВ Ф-3 ПС 35 кВ Ножай-Юрт ТП 3-8</t>
  </si>
  <si>
    <t>ВЛ 0,4 кВ Ф-3 ПС 35 кВ Ножай-Юрт ТП 3-8А</t>
  </si>
  <si>
    <t>ВЛ 0,4 кВ Ф-3 ПС 35 кВ Ножай-Юрт ТП 3-9</t>
  </si>
  <si>
    <t xml:space="preserve"> ВЛ 0,4 кВ Ф-3 ПС 35 кВ Ножай-Юрт ТП 3-5А</t>
  </si>
  <si>
    <t>ВЛ 0,4 кВ Ф-3 ПС 35 кВ Ножай-Юрт ТП 3-5</t>
  </si>
  <si>
    <t>ВЛ 0,4 кВ Ф-3 ПС 35 кВ Ножай-Юрт ТП 3-2</t>
  </si>
  <si>
    <t>ВЛ 0,4 кВ Ф-3 ПС 35 кВ Ножай-Юрт ТП 3-3</t>
  </si>
  <si>
    <t>ВЛ 0,4 кВ Ф-3 ПС 35 кВ Ножай-Юрт ТП 3-10А</t>
  </si>
  <si>
    <t xml:space="preserve"> ВЛ 0,4 кВ Ф-3 ПС 35 кВ Ножай-Юрт ТП 3-10</t>
  </si>
  <si>
    <t>ВЛ 0,4 кВ Ф-4 ПС 35 кВ Ножай-Юрт ТП 4-9А</t>
  </si>
  <si>
    <t xml:space="preserve"> ВЛ 0,4 кВ Ф-4 ПС 35 кВ Ножай-Юрт ТП 4-9</t>
  </si>
  <si>
    <t>ВЛ 0,4 кВ Ф-5 ПС 35 кВ Ножай-Юрт ТП 5-2</t>
  </si>
  <si>
    <t>ВЛ 0,4 кВ Ф-5 ПС 35 кВ Ножай-Юрт ТП 5-4</t>
  </si>
  <si>
    <t>ВЛ 0,4 кВ Ф-5 ПС 35 кВ Ножай-Юрт ТП 5-10</t>
  </si>
  <si>
    <t xml:space="preserve"> ВЛ 0,4 кВ Ф-5 ПС 35 кВ Ножай-Юрт ТП 5-21</t>
  </si>
  <si>
    <t>ВЛ 0,4 кВ Ф-5 ПС 35 кВ Ножай-Юрт ТП 5-28А</t>
  </si>
  <si>
    <t>ВЛ 0,4 кВ Ф-5 ПС 35 кВ Ножай-Юрт ТП 5-28</t>
  </si>
  <si>
    <t xml:space="preserve"> ВЛ 0,4 кВ Ф-1 ПС 35 кВ Саясан ТП 1-1</t>
  </si>
  <si>
    <t>ВЛ 0,4 кВ Ф-1 ПС 35 кВ Саясан ТП 1-2А</t>
  </si>
  <si>
    <t>ВЛ 0,4 кВ Ф-1 ПС 35 кВ Саясан ТП 1-2</t>
  </si>
  <si>
    <t>ВЛ 0,4 кВ Ф-2 ПС 35 кВ Саясан ТП 2-8</t>
  </si>
  <si>
    <t>ВЛ 0,4 кВ Ф-4 ПС 35 кВ Саясан ТП 4-5</t>
  </si>
  <si>
    <t xml:space="preserve"> ВЛ 0,4 кВ Ф-4 ПС 35 кВ Саясан ТП 4-11</t>
  </si>
  <si>
    <t>ВЛ 10 кВ Ф-9 ПС 35 кВ Беной ТП 9-7А</t>
  </si>
  <si>
    <t>АС-50</t>
  </si>
  <si>
    <t>СВ-110</t>
  </si>
  <si>
    <t>ВЛ 10 кВ Ф-10 ПС 35 кВ Беной ТП 10-11А</t>
  </si>
  <si>
    <t>ВЛ 10 кВ Ф-2 ПС 35 кВ Ножай-Юрт ТП 2-9А</t>
  </si>
  <si>
    <t>ВЛ 10 кВ Ф-2 ПС 35 кВ Ножай-Юрт ТП 2-14А</t>
  </si>
  <si>
    <t>ВЛ 10 кВ Ф-3 ПС 35 кВ Ножай-Юрт ТП 3-8А</t>
  </si>
  <si>
    <t>ВЛ 10 кВ Ф-3 ПС 35 кВ Ножай-Юрт ТП 3-10А</t>
  </si>
  <si>
    <t>ВЛ 10 кВ Ф-4 ПС 35 кВ Ножай-Юрт ТП 4-9А</t>
  </si>
  <si>
    <t>ВЛ 10 кВ Ф-5 ПС 35 кВ Ножай-Юрт ТП 5-28А</t>
  </si>
  <si>
    <t xml:space="preserve"> ВЛ 10 кВ Ф-1 ПС 35 кВ Саясан ТП 1-1</t>
  </si>
  <si>
    <t>ВЛ 10 кВ Ф-1 ПС 35 кВ Саясан ТП 1-2А</t>
  </si>
  <si>
    <t xml:space="preserve"> ТП Ф-2 ПС 35 кВ Беной ТП 2-2</t>
  </si>
  <si>
    <t>ТМГ</t>
  </si>
  <si>
    <t>КТП с ТМ</t>
  </si>
  <si>
    <t>КТПн с ТМГ</t>
  </si>
  <si>
    <t>ТП 2-2</t>
  </si>
  <si>
    <t>2020-2021</t>
  </si>
  <si>
    <t>ТП Ф-9 ПС 35 кВ Беной ТП 9-1</t>
  </si>
  <si>
    <t>ТП 9-1</t>
  </si>
  <si>
    <t>ТП Ф-9 ПС 35 кВ Беной ТП 9-2</t>
  </si>
  <si>
    <t>ТП 9-2</t>
  </si>
  <si>
    <t>ТП Ф-9 ПС 35 кВ Беной ТП 9-7</t>
  </si>
  <si>
    <t>ТП 9-7</t>
  </si>
  <si>
    <t>ТП Ф-10 ПС 35 кВ Беной ТП 10-11</t>
  </si>
  <si>
    <t>ТП 10-11</t>
  </si>
  <si>
    <t>ТП Ф-2 ПС 35 кВ Ножай-Юрт ТП 2-9</t>
  </si>
  <si>
    <t xml:space="preserve"> ТП 2-9</t>
  </si>
  <si>
    <t>ТП Ф-2 ПС 35 кВ Ножай-Юрт ТП 2-14</t>
  </si>
  <si>
    <t>ТП 2-14</t>
  </si>
  <si>
    <t>ТП Ф-3 ПС 35 кВ Ножай-Юрт ТП 3-8</t>
  </si>
  <si>
    <t>ТП 3-8</t>
  </si>
  <si>
    <t>ТП Ф-3 ПС 35 кВ Ножай-Юрт ТП 3-10</t>
  </si>
  <si>
    <t>ТП 3-10</t>
  </si>
  <si>
    <t>ТП Ф-5 ПС 35 кВ Ножай-Юрт ТП 5-4</t>
  </si>
  <si>
    <t>ТП 5-4</t>
  </si>
  <si>
    <t xml:space="preserve"> ТП Ф-5 ПС 35 кВ Ножай-Юрт ТП 5-28</t>
  </si>
  <si>
    <t>ТП 5-28</t>
  </si>
  <si>
    <t xml:space="preserve"> ТП Ф-1 ПС 35 кВ Саясан ТП 1-1</t>
  </si>
  <si>
    <t xml:space="preserve"> ТП 1-1</t>
  </si>
  <si>
    <t xml:space="preserve"> ТП Ф-1 ПС 35 кВ Саясан ТП 1-2</t>
  </si>
  <si>
    <t>ТП 1-2</t>
  </si>
  <si>
    <t xml:space="preserve"> ТП Ф-2 ПС 35 кВ Саясан ТП 2-8</t>
  </si>
  <si>
    <t>ТП 2-8</t>
  </si>
  <si>
    <t xml:space="preserve"> ТП Ф-4 ПС 35 кВ Саясан ТП 4-5</t>
  </si>
  <si>
    <t>ТП 4-5</t>
  </si>
  <si>
    <t>ТП Ф-4 ПС 35 кВ Саясан ТП 4-11</t>
  </si>
  <si>
    <t xml:space="preserve"> ТП 4-11</t>
  </si>
  <si>
    <t>ТП Ф-9 ПС 35 кВ Беной ТП 9-7А</t>
  </si>
  <si>
    <t>ТП 9-7А</t>
  </si>
  <si>
    <t>ТП Ф-10 ПС 35 кВ Беной ТП 10-11А</t>
  </si>
  <si>
    <t>ТП 10-11А</t>
  </si>
  <si>
    <t>ТП Ф-2 ПС 35 кВ Ножай-Юрт ТП 2-9А</t>
  </si>
  <si>
    <t xml:space="preserve"> ТП 2-9А</t>
  </si>
  <si>
    <t>ТП Ф-2 ПС 35 кВ Ножай-Юрт ТП 2-14А</t>
  </si>
  <si>
    <t>ТП 2-14А</t>
  </si>
  <si>
    <t>ТП Ф-3 ПС 35 кВ Ножай-Юрт ТП 3-8А</t>
  </si>
  <si>
    <t>ТП 3-8А</t>
  </si>
  <si>
    <t>ТП Ф-3 ПС 35 кВ Ножай-Юрт ТП 3-5А</t>
  </si>
  <si>
    <t>ТП 3-5А</t>
  </si>
  <si>
    <t>ТП Ф-3 ПС 35 кВ Ножай-Юрт ТП 3-10А</t>
  </si>
  <si>
    <t>ТП 3-10А</t>
  </si>
  <si>
    <t>ТП Ф-4 ПС 35 кВ Ножай-Юрт ТП 4-9А</t>
  </si>
  <si>
    <t>ТП 4-9А</t>
  </si>
  <si>
    <t>ТП Ф-5 ПС 35 кВ Ножай-Юрт ТП 5-28А</t>
  </si>
  <si>
    <t>ТП 5-28А</t>
  </si>
  <si>
    <t>ТП Ф-1 ПС 35 кВ Саясан ТП 1-2А</t>
  </si>
  <si>
    <t>ТП 1-2А</t>
  </si>
  <si>
    <t>РСФ "МИР" ООО (ПИР) № 01-18-ПИР от 17.08.2020 (объем затрат по данному объекту составляет 9,83 млн.р. с НДС)</t>
  </si>
  <si>
    <t>строительство и реконструкция</t>
  </si>
  <si>
    <t>117 950,43  
118 033,76</t>
  </si>
  <si>
    <t>Конкурс 
№ 977287</t>
  </si>
  <si>
    <t>комплекс</t>
  </si>
  <si>
    <t>СМР, оборудование, прочие</t>
  </si>
  <si>
    <t>585 191,23                              585 777,59</t>
  </si>
  <si>
    <t>Конкурс 
№ 2366050 </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</si>
  <si>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Ножай-Юртовских РЭС - 9 834,55 тыс. руб. с НДС.
Дата исполнения договора - в соотетствтсии с доп. соглашением № 1 от 28.12.2018</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</si>
  <si>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</si>
  <si>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</si>
  <si>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</si>
  <si>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</si>
  <si>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Ножай-Юртовский район</t>
  </si>
  <si>
    <t>местный</t>
  </si>
  <si>
    <t>+</t>
  </si>
  <si>
    <t>Показатель замены силовых (авто-) трансформаторов высшего класса напряжения 10 кв - 4,26 МВт. Показатель замены линий электропередачи высшего класса напряжения 0,4 кв - 97,42 км. Показатель объема финансовых потребностей, необходимых для реализации мероприятий, направленных на выполнение требований законодательства (фтз) - 153,43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</si>
  <si>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</si>
  <si>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</si>
  <si>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</si>
  <si>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3,25 млн.кВтч; экономия от снижения потерь и роста объема оказанных услуг составит 7,71 млн. руб.</t>
  </si>
  <si>
    <t>30,3 млн.руб./МВА. 1,32 млн.руб./км.</t>
  </si>
  <si>
    <t>4,26 МВА (4,26 МВА)  97,42 км (97,42 км)</t>
  </si>
  <si>
    <t>Итого за год (нарастающим итогом)</t>
  </si>
  <si>
    <t>за текущий квартал</t>
  </si>
  <si>
    <t>строительный контроль</t>
  </si>
  <si>
    <t>Авторский надзор</t>
  </si>
  <si>
    <t>- прочие затраты по объекту, в т.ч.</t>
  </si>
  <si>
    <t>заработная плата производственного персонала</t>
  </si>
  <si>
    <t>проценты за пользование кредитными средствами</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</si>
  <si>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</si>
  <si>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</si>
  <si>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</si>
  <si>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</si>
  <si>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Ножай-Юртовским РЭС -133 014,13 тыс. руб. с НДС.  Факт выполнения составил 104 298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</si>
  <si>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</si>
  <si>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</si>
  <si>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2 330,36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</si>
  <si>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</si>
  <si>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</si>
  <si>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</si>
  <si>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</si>
  <si>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</si>
  <si>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</si>
  <si>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</si>
  <si>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- 218,82 тыс. руб. с НДС</t>
  </si>
  <si>
    <t>ООО «НИЙСО и К» № 18-20-СМР-ЧЭ от 06.10.2020 "под ключ", объем затрат по данному объекту составляет 133,01 млн.р. с НДС, фактическое выполение - 104,30 млн руб. с НДС.</t>
  </si>
  <si>
    <t>АО ЦИУС ЕЭС Договор 01-21-СК-ЧЭ  от 11.01.2021 (объем затрат по данному объекту - 2,33 млн руб. с НДС)</t>
  </si>
  <si>
    <t>объем заключенного договора в ценах _2020_ года с НДС, млн. руб.</t>
  </si>
  <si>
    <t>объем заключенного договора в ценах 2021 года с НДС, млн. руб.</t>
  </si>
  <si>
    <t>ООО РСФ "Мир"  №24-20-ЧЭ от 21.12.2020 (объем затрат по данному объекту - 0,22 млн руб. с НДС)</t>
  </si>
  <si>
    <t xml:space="preserve">АО ЦИУС ЕЭС </t>
  </si>
  <si>
    <t>13.04.2024</t>
  </si>
  <si>
    <t>16.04.2024</t>
  </si>
  <si>
    <t>15.04.2024</t>
  </si>
  <si>
    <t>18.04.2024</t>
  </si>
  <si>
    <t>25.04.2024</t>
  </si>
  <si>
    <t>30.04.2024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</si>
</sst>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00"/>
    <numFmt numFmtId="168" formatCode="[$-419]mmmm\ yyyy;@"/>
    <numFmt numFmtId="169" formatCode="0.000"/>
    <numFmt numFmtId="170" formatCode="0.00000000"/>
  </numFmts>
  <fonts count="71"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u/>
      <sz val="10"/>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8">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xf numFmtId="0" fontId="9" fillId="0" borderId="0"/>
  </cellStyleXfs>
  <cellXfs count="373">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0" fontId="5" fillId="24" borderId="10" xfId="53" applyFont="1" applyFill="1" applyBorder="1" applyAlignment="1">
      <alignment vertical="center" wrapText="1"/>
    </xf>
    <xf numFmtId="0" fontId="9" fillId="0" borderId="10" xfId="41" applyFont="1" applyFill="1" applyBorder="1" applyAlignment="1">
      <alignment horizontal="left" vertical="top"/>
    </xf>
    <xf numFmtId="0" fontId="9" fillId="0" borderId="10" xfId="41" applyFont="1" applyFill="1" applyBorder="1" applyAlignment="1">
      <alignment horizontal="left"/>
    </xf>
    <xf numFmtId="0" fontId="60" fillId="0" borderId="10" xfId="41" applyFont="1" applyFill="1" applyBorder="1" applyAlignment="1">
      <alignment horizontal="left"/>
    </xf>
    <xf numFmtId="2" fontId="9" fillId="0" borderId="10" xfId="41" applyNumberFormat="1" applyFont="1" applyFill="1" applyBorder="1" applyAlignment="1">
      <alignment horizontal="center" vertical="top"/>
    </xf>
    <xf numFmtId="0" fontId="67" fillId="24" borderId="0" xfId="52" applyFont="1" applyFill="1"/>
    <xf numFmtId="0" fontId="67" fillId="24" borderId="10" xfId="5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3" fillId="0" borderId="10" xfId="42"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69" fontId="33" fillId="0" borderId="10" xfId="42" applyNumberFormat="1" applyFont="1" applyFill="1" applyBorder="1" applyAlignment="1">
      <alignment horizontal="justify" vertical="top" wrapText="1"/>
    </xf>
    <xf numFmtId="10" fontId="33" fillId="0" borderId="10" xfId="42" applyNumberFormat="1" applyFont="1" applyFill="1" applyBorder="1" applyAlignment="1">
      <alignment horizontal="justify" vertical="top" wrapText="1"/>
    </xf>
    <xf numFmtId="169" fontId="9" fillId="0" borderId="0" xfId="42" applyNumberFormat="1" applyFill="1"/>
    <xf numFmtId="0" fontId="35" fillId="0" borderId="14" xfId="42" applyFont="1" applyFill="1" applyBorder="1" applyAlignment="1">
      <alignment horizontal="center" vertical="center" wrapText="1"/>
    </xf>
    <xf numFmtId="1" fontId="67" fillId="0" borderId="10" xfId="52" applyNumberFormat="1" applyFont="1" applyFill="1" applyBorder="1" applyAlignment="1">
      <alignment horizontal="center" vertical="center"/>
    </xf>
    <xf numFmtId="14" fontId="67" fillId="25" borderId="10" xfId="52" applyNumberFormat="1" applyFont="1" applyFill="1" applyBorder="1" applyAlignment="1">
      <alignment horizontal="center" vertical="center"/>
    </xf>
    <xf numFmtId="4" fontId="67" fillId="24" borderId="10" xfId="52" applyNumberFormat="1" applyFont="1" applyFill="1" applyBorder="1" applyAlignment="1">
      <alignment horizontal="center" vertical="center" wrapText="1"/>
    </xf>
    <xf numFmtId="0" fontId="38" fillId="24" borderId="10" xfId="52" applyFont="1" applyFill="1" applyBorder="1" applyAlignment="1">
      <alignment horizontal="center" vertical="center" wrapText="1"/>
    </xf>
    <xf numFmtId="4" fontId="38" fillId="24" borderId="10" xfId="52" applyNumberFormat="1" applyFont="1" applyFill="1" applyBorder="1" applyAlignment="1">
      <alignment horizontal="center" vertical="center" wrapText="1"/>
    </xf>
    <xf numFmtId="0" fontId="69" fillId="24" borderId="10" xfId="86" applyFont="1" applyFill="1" applyBorder="1" applyAlignment="1">
      <alignment horizontal="center" vertical="center" wrapText="1"/>
    </xf>
    <xf numFmtId="14" fontId="67" fillId="24" borderId="10" xfId="52" applyNumberFormat="1" applyFont="1" applyFill="1" applyBorder="1" applyAlignment="1">
      <alignment horizontal="center" vertical="center" wrapText="1"/>
    </xf>
    <xf numFmtId="14" fontId="67" fillId="0" borderId="10" xfId="52" applyNumberFormat="1" applyFont="1" applyFill="1" applyBorder="1" applyAlignment="1">
      <alignment horizontal="center" vertical="center" wrapText="1"/>
    </xf>
    <xf numFmtId="1" fontId="67" fillId="24" borderId="10" xfId="52" applyNumberFormat="1" applyFont="1" applyFill="1" applyBorder="1" applyAlignment="1">
      <alignment horizontal="center" vertical="center"/>
    </xf>
    <xf numFmtId="0" fontId="67" fillId="0" borderId="0" xfId="52" applyFont="1" applyFill="1"/>
    <xf numFmtId="0" fontId="67" fillId="0" borderId="10" xfId="52" applyFont="1" applyFill="1" applyBorder="1" applyAlignment="1">
      <alignment horizontal="center" vertical="center"/>
    </xf>
    <xf numFmtId="0" fontId="67" fillId="0" borderId="10" xfId="52" applyFont="1" applyFill="1" applyBorder="1" applyAlignment="1">
      <alignment horizontal="center" vertical="center" wrapText="1"/>
    </xf>
    <xf numFmtId="0" fontId="67" fillId="0" borderId="10" xfId="52" applyFont="1" applyFill="1" applyBorder="1"/>
    <xf numFmtId="1" fontId="67" fillId="0" borderId="10" xfId="52" applyNumberFormat="1" applyFont="1" applyFill="1" applyBorder="1" applyAlignment="1">
      <alignment horizontal="center" vertical="center"/>
    </xf>
    <xf numFmtId="0" fontId="67" fillId="24" borderId="10" xfId="52" applyFont="1" applyFill="1" applyBorder="1" applyAlignment="1">
      <alignment horizontal="center" vertical="center" wrapText="1"/>
    </xf>
    <xf numFmtId="1" fontId="38" fillId="0" borderId="10" xfId="52" applyNumberFormat="1" applyFont="1" applyFill="1" applyBorder="1" applyAlignment="1">
      <alignment horizontal="center" vertical="center"/>
    </xf>
    <xf numFmtId="1" fontId="67" fillId="0" borderId="10" xfId="52" applyNumberFormat="1" applyFont="1" applyFill="1" applyBorder="1" applyAlignment="1">
      <alignment horizontal="justify" vertical="center" wrapText="1"/>
    </xf>
    <xf numFmtId="4" fontId="38" fillId="0" borderId="10" xfId="52" applyNumberFormat="1"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xf>
    <xf numFmtId="3" fontId="38" fillId="0" borderId="10" xfId="52" applyNumberFormat="1" applyFont="1" applyFill="1" applyBorder="1" applyAlignment="1">
      <alignment horizontal="center" vertical="center"/>
    </xf>
    <xf numFmtId="14" fontId="70" fillId="0" borderId="10" xfId="52" applyNumberFormat="1" applyFont="1" applyFill="1" applyBorder="1" applyAlignment="1">
      <alignment horizontal="center" vertical="center"/>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14" fontId="9" fillId="0" borderId="31" xfId="42" applyNumberFormat="1" applyBorder="1" applyAlignment="1">
      <alignment horizontal="center" vertical="center" wrapText="1"/>
    </xf>
    <xf numFmtId="14" fontId="9" fillId="0" borderId="31" xfId="60" applyNumberFormat="1" applyFont="1" applyFill="1" applyBorder="1" applyAlignment="1">
      <alignment horizontal="center" vertical="center" wrapText="1"/>
    </xf>
    <xf numFmtId="49" fontId="9" fillId="0" borderId="31" xfId="60" applyNumberFormat="1" applyFont="1" applyFill="1" applyBorder="1" applyAlignment="1">
      <alignment horizontal="center" vertical="center" wrapText="1"/>
    </xf>
    <xf numFmtId="49" fontId="9" fillId="0" borderId="31" xfId="60" applyNumberFormat="1" applyFont="1" applyFill="1" applyBorder="1" applyAlignment="1">
      <alignment horizontal="center" vertical="center"/>
    </xf>
    <xf numFmtId="170" fontId="33" fillId="0" borderId="10" xfId="42" applyNumberFormat="1" applyFont="1" applyFill="1" applyBorder="1" applyAlignment="1">
      <alignment horizontal="justify" vertical="top"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6" fillId="0" borderId="0" xfId="53" applyFont="1" applyFill="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67" fillId="0" borderId="10" xfId="52" applyNumberFormat="1" applyFont="1" applyFill="1" applyBorder="1" applyAlignment="1">
      <alignment horizontal="center" vertical="center"/>
    </xf>
    <xf numFmtId="0" fontId="67" fillId="24" borderId="10" xfId="52" applyFont="1" applyFill="1" applyBorder="1" applyAlignment="1">
      <alignment horizontal="center" vertical="center" wrapText="1"/>
    </xf>
    <xf numFmtId="168" fontId="67" fillId="24" borderId="10" xfId="52" applyNumberFormat="1" applyFont="1" applyFill="1" applyBorder="1" applyAlignment="1">
      <alignment horizontal="center" vertical="center" wrapText="1"/>
    </xf>
    <xf numFmtId="2" fontId="38" fillId="24" borderId="10" xfId="52" applyNumberFormat="1" applyFont="1" applyFill="1" applyBorder="1" applyAlignment="1">
      <alignment horizontal="center" vertical="center" wrapText="1"/>
    </xf>
    <xf numFmtId="1" fontId="67" fillId="24" borderId="11" xfId="52" applyNumberFormat="1" applyFont="1" applyFill="1" applyBorder="1" applyAlignment="1">
      <alignment horizontal="center" vertical="center" wrapText="1"/>
    </xf>
    <xf numFmtId="1" fontId="67" fillId="24" borderId="19" xfId="52" applyNumberFormat="1" applyFont="1" applyFill="1" applyBorder="1" applyAlignment="1">
      <alignment horizontal="center" vertical="center" wrapText="1"/>
    </xf>
    <xf numFmtId="1" fontId="67" fillId="24" borderId="13" xfId="52" applyNumberFormat="1" applyFont="1" applyFill="1" applyBorder="1" applyAlignment="1">
      <alignment horizontal="center" vertical="center" wrapText="1"/>
    </xf>
    <xf numFmtId="1" fontId="38" fillId="24" borderId="14" xfId="52" applyNumberFormat="1" applyFont="1" applyFill="1" applyBorder="1" applyAlignment="1">
      <alignment horizontal="center" vertical="center" wrapText="1"/>
    </xf>
    <xf numFmtId="1" fontId="38" fillId="24" borderId="15" xfId="52" applyNumberFormat="1" applyFont="1" applyFill="1" applyBorder="1" applyAlignment="1">
      <alignment horizontal="center" vertical="center" wrapText="1"/>
    </xf>
    <xf numFmtId="1" fontId="38" fillId="24"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8">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1 2" xfId="8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3" zoomScale="70" zoomScaleNormal="100" zoomScaleSheetLayoutView="70" workbookViewId="0">
      <selection activeCell="C50" sqref="C50"/>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41" t="str">
        <f>'[1]6.2. отчет'!$B$2</f>
        <v>Год раскрытия информации: 2025 год</v>
      </c>
      <c r="B5" s="241"/>
      <c r="C5" s="241"/>
      <c r="D5" s="12"/>
      <c r="E5" s="12"/>
      <c r="F5" s="12"/>
      <c r="G5" s="12"/>
      <c r="H5" s="12"/>
      <c r="I5" s="12"/>
      <c r="J5" s="12"/>
    </row>
    <row r="6" spans="1:22" s="78" customFormat="1" ht="18.75" x14ac:dyDescent="0.3">
      <c r="A6" s="13"/>
      <c r="H6" s="14"/>
    </row>
    <row r="7" spans="1:22" s="78" customFormat="1" ht="18.75" x14ac:dyDescent="0.2">
      <c r="A7" s="245" t="s">
        <v>5</v>
      </c>
      <c r="B7" s="245"/>
      <c r="C7" s="245"/>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46" t="s">
        <v>264</v>
      </c>
      <c r="B9" s="246"/>
      <c r="C9" s="246"/>
      <c r="D9" s="18"/>
      <c r="E9" s="18"/>
      <c r="F9" s="18"/>
      <c r="G9" s="18"/>
      <c r="H9" s="18"/>
      <c r="I9" s="17"/>
      <c r="J9" s="17"/>
      <c r="K9" s="17"/>
      <c r="L9" s="17"/>
      <c r="M9" s="17"/>
      <c r="N9" s="17"/>
      <c r="O9" s="17"/>
      <c r="P9" s="17"/>
      <c r="Q9" s="17"/>
      <c r="R9" s="17"/>
      <c r="S9" s="17"/>
      <c r="T9" s="17"/>
      <c r="U9" s="17"/>
      <c r="V9" s="17"/>
    </row>
    <row r="10" spans="1:22" s="78" customFormat="1" ht="18.75" x14ac:dyDescent="0.2">
      <c r="A10" s="251" t="s">
        <v>4</v>
      </c>
      <c r="B10" s="251"/>
      <c r="C10" s="251"/>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46" t="s">
        <v>480</v>
      </c>
      <c r="B12" s="246"/>
      <c r="C12" s="246"/>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51" t="s">
        <v>3</v>
      </c>
      <c r="B13" s="251"/>
      <c r="C13" s="251"/>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52" t="str">
        <f>VLOOKUP(A12,'[1]6.2. отчет'!$A:$C,3,0)</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B15" s="246"/>
      <c r="C15" s="246"/>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2" t="s">
        <v>2</v>
      </c>
      <c r="B16" s="242"/>
      <c r="C16" s="242"/>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9"/>
      <c r="B17" s="149"/>
      <c r="C17" s="149"/>
      <c r="D17" s="79"/>
      <c r="E17" s="79"/>
      <c r="F17" s="79"/>
      <c r="G17" s="79"/>
      <c r="H17" s="79"/>
      <c r="I17" s="79"/>
      <c r="J17" s="79"/>
      <c r="K17" s="79"/>
      <c r="L17" s="79"/>
      <c r="M17" s="79"/>
      <c r="N17" s="79"/>
      <c r="O17" s="79"/>
      <c r="P17" s="79"/>
      <c r="Q17" s="79"/>
      <c r="R17" s="79"/>
      <c r="S17" s="79"/>
    </row>
    <row r="18" spans="1:22" s="25" customFormat="1" ht="15" customHeight="1" x14ac:dyDescent="0.2">
      <c r="A18" s="243" t="s">
        <v>257</v>
      </c>
      <c r="B18" s="244"/>
      <c r="C18" s="244"/>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0"/>
      <c r="B19" s="150"/>
      <c r="C19" s="150"/>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1" t="s">
        <v>20</v>
      </c>
      <c r="C20" s="152"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2">
        <v>1</v>
      </c>
      <c r="B21" s="151">
        <v>2</v>
      </c>
      <c r="C21" s="152">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3" t="s">
        <v>146</v>
      </c>
      <c r="C22" s="73" t="s">
        <v>602</v>
      </c>
      <c r="D22" s="132"/>
      <c r="E22" s="132"/>
      <c r="F22" s="132"/>
      <c r="G22" s="132"/>
      <c r="H22" s="132"/>
      <c r="I22" s="1"/>
      <c r="J22" s="1"/>
      <c r="K22" s="1"/>
      <c r="L22" s="1"/>
      <c r="M22" s="1"/>
      <c r="N22" s="1"/>
      <c r="O22" s="1"/>
      <c r="P22" s="1"/>
      <c r="Q22" s="1"/>
      <c r="R22" s="1"/>
      <c r="S22" s="1"/>
      <c r="T22" s="118"/>
      <c r="U22" s="118"/>
      <c r="V22" s="118"/>
    </row>
    <row r="23" spans="1:22" s="25" customFormat="1" ht="78.75" x14ac:dyDescent="0.2">
      <c r="A23" s="71" t="s">
        <v>17</v>
      </c>
      <c r="B23" s="72" t="s">
        <v>453</v>
      </c>
      <c r="C23" s="73" t="s">
        <v>603</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48"/>
      <c r="B24" s="249"/>
      <c r="C24" s="250"/>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604</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605</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606</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607</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608</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608</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48"/>
      <c r="B39" s="249"/>
      <c r="C39" s="250"/>
      <c r="D39" s="122"/>
      <c r="E39" s="122"/>
      <c r="F39" s="122"/>
      <c r="G39" s="122"/>
      <c r="H39" s="122"/>
      <c r="I39" s="122"/>
      <c r="J39" s="122"/>
      <c r="K39" s="122"/>
      <c r="L39" s="122"/>
      <c r="M39" s="122"/>
      <c r="N39" s="122"/>
      <c r="O39" s="122"/>
      <c r="P39" s="122"/>
      <c r="Q39" s="122"/>
      <c r="R39" s="122"/>
      <c r="S39" s="122"/>
      <c r="T39" s="122"/>
      <c r="U39" s="122"/>
      <c r="V39" s="122"/>
    </row>
    <row r="40" spans="1:22" ht="78.75" x14ac:dyDescent="0.25">
      <c r="A40" s="71" t="s">
        <v>235</v>
      </c>
      <c r="B40" s="73" t="s">
        <v>448</v>
      </c>
      <c r="C40" s="138" t="s">
        <v>609</v>
      </c>
      <c r="D40" s="247"/>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47"/>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610</v>
      </c>
      <c r="D42" s="247"/>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47"/>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47"/>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47"/>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611</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4">
        <f>'6.2. Паспорт фин осв ввод'!C24</f>
        <v>121.84595323900001</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4">
        <f>'6.2. Паспорт фин осв ввод'!C30</f>
        <v>102.40397553</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75"/>
  <sheetViews>
    <sheetView topLeftCell="A25" zoomScale="55" zoomScaleNormal="55" workbookViewId="0">
      <selection activeCell="C52" sqref="C52"/>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x14ac:dyDescent="0.25">
      <c r="A3" s="246"/>
      <c r="B3" s="246"/>
      <c r="C3" s="246"/>
      <c r="D3" s="246"/>
      <c r="E3" s="246"/>
      <c r="F3" s="246"/>
      <c r="G3" s="246"/>
      <c r="H3" s="246"/>
      <c r="I3" s="246"/>
      <c r="J3" s="246"/>
      <c r="K3" s="246"/>
    </row>
    <row r="4" spans="1:11" s="78" customFormat="1" x14ac:dyDescent="0.2">
      <c r="A4" s="330" t="str">
        <f>'1. паспорт местоположение'!A5</f>
        <v>Год раскрытия информации: 2025 год</v>
      </c>
      <c r="B4" s="330"/>
      <c r="C4" s="330"/>
      <c r="D4" s="330"/>
      <c r="E4" s="330"/>
      <c r="F4" s="330"/>
      <c r="G4" s="330"/>
      <c r="H4" s="330"/>
      <c r="I4" s="330"/>
      <c r="J4" s="330"/>
      <c r="K4" s="330"/>
    </row>
    <row r="5" spans="1:11" s="78" customFormat="1" x14ac:dyDescent="0.2">
      <c r="A5" s="159"/>
      <c r="B5" s="157"/>
      <c r="C5" s="157"/>
      <c r="D5" s="157"/>
      <c r="E5" s="157"/>
      <c r="F5" s="157"/>
      <c r="G5" s="312"/>
      <c r="H5" s="312"/>
      <c r="I5" s="312"/>
      <c r="J5" s="312"/>
      <c r="K5" s="312"/>
    </row>
    <row r="6" spans="1:11" s="78" customFormat="1" x14ac:dyDescent="0.2">
      <c r="A6" s="330" t="str">
        <f>'1. паспорт местоположение'!A7</f>
        <v xml:space="preserve">Паспорт инвестиционного проекта </v>
      </c>
      <c r="B6" s="330"/>
      <c r="C6" s="330"/>
      <c r="D6" s="330"/>
      <c r="E6" s="330"/>
      <c r="F6" s="330"/>
      <c r="G6" s="330"/>
      <c r="H6" s="330"/>
      <c r="I6" s="330"/>
      <c r="J6" s="330"/>
      <c r="K6" s="330"/>
    </row>
    <row r="7" spans="1:11" s="78" customFormat="1" ht="18.75" x14ac:dyDescent="0.2">
      <c r="A7" s="155"/>
      <c r="B7" s="155"/>
      <c r="C7" s="155"/>
      <c r="D7" s="155"/>
      <c r="E7" s="155"/>
      <c r="F7" s="155"/>
      <c r="G7" s="245"/>
      <c r="H7" s="245"/>
      <c r="I7" s="245"/>
      <c r="J7" s="245"/>
      <c r="K7" s="245"/>
    </row>
    <row r="8" spans="1:11" s="78" customFormat="1" x14ac:dyDescent="0.2">
      <c r="A8" s="330" t="str">
        <f>'1. паспорт местоположение'!A9</f>
        <v>АО "Чеченэнерго"</v>
      </c>
      <c r="B8" s="330"/>
      <c r="C8" s="330"/>
      <c r="D8" s="330"/>
      <c r="E8" s="330"/>
      <c r="F8" s="330"/>
      <c r="G8" s="330"/>
      <c r="H8" s="330"/>
      <c r="I8" s="330"/>
      <c r="J8" s="330"/>
      <c r="K8" s="330"/>
    </row>
    <row r="9" spans="1:11" s="78" customFormat="1" x14ac:dyDescent="0.2">
      <c r="A9" s="251" t="str">
        <f>'1. паспорт местоположение'!A10</f>
        <v xml:space="preserve">         (фирменное наименование субъекта электроэнергетики)</v>
      </c>
      <c r="B9" s="251"/>
      <c r="C9" s="251"/>
      <c r="D9" s="251"/>
      <c r="E9" s="251"/>
      <c r="F9" s="251"/>
      <c r="G9" s="251"/>
      <c r="H9" s="251"/>
      <c r="I9" s="251"/>
      <c r="J9" s="251"/>
      <c r="K9" s="251"/>
    </row>
    <row r="10" spans="1:11" s="78" customFormat="1" ht="18.75" x14ac:dyDescent="0.2">
      <c r="A10" s="155"/>
      <c r="B10" s="155"/>
      <c r="C10" s="155"/>
      <c r="D10" s="155"/>
      <c r="E10" s="155"/>
      <c r="F10" s="155"/>
      <c r="G10" s="245"/>
      <c r="H10" s="245"/>
      <c r="I10" s="245"/>
      <c r="J10" s="245"/>
      <c r="K10" s="245"/>
    </row>
    <row r="11" spans="1:11" s="78" customFormat="1" x14ac:dyDescent="0.2">
      <c r="A11" s="246" t="str">
        <f>'1. паспорт местоположение'!A12</f>
        <v>L_Che376</v>
      </c>
      <c r="B11" s="246"/>
      <c r="C11" s="246"/>
      <c r="D11" s="246"/>
      <c r="E11" s="246"/>
      <c r="F11" s="246"/>
      <c r="G11" s="246"/>
      <c r="H11" s="246"/>
      <c r="I11" s="246"/>
      <c r="J11" s="246"/>
      <c r="K11" s="246"/>
    </row>
    <row r="12" spans="1:11" s="78" customFormat="1" x14ac:dyDescent="0.2">
      <c r="A12" s="251" t="str">
        <f>'1. паспорт местоположение'!A13</f>
        <v xml:space="preserve">         (идентификатор инвестиционного проекта)</v>
      </c>
      <c r="B12" s="251"/>
      <c r="C12" s="251"/>
      <c r="D12" s="251"/>
      <c r="E12" s="251"/>
      <c r="F12" s="251"/>
      <c r="G12" s="251"/>
      <c r="H12" s="251"/>
      <c r="I12" s="251"/>
      <c r="J12" s="251"/>
      <c r="K12" s="251"/>
    </row>
    <row r="13" spans="1:11" s="81" customFormat="1" ht="15.75" customHeight="1" x14ac:dyDescent="0.2">
      <c r="A13" s="158"/>
      <c r="B13" s="158"/>
      <c r="C13" s="158"/>
      <c r="D13" s="158"/>
      <c r="E13" s="158"/>
      <c r="F13" s="158"/>
      <c r="G13" s="279"/>
      <c r="H13" s="279"/>
      <c r="I13" s="279"/>
      <c r="J13" s="279"/>
      <c r="K13" s="279"/>
    </row>
    <row r="14" spans="1:11" s="25" customFormat="1" x14ac:dyDescent="0.2">
      <c r="A14" s="246"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B14" s="246"/>
      <c r="C14" s="246"/>
      <c r="D14" s="246"/>
      <c r="E14" s="246"/>
      <c r="F14" s="246"/>
      <c r="G14" s="246"/>
      <c r="H14" s="246"/>
      <c r="I14" s="246"/>
      <c r="J14" s="246"/>
      <c r="K14" s="246"/>
    </row>
    <row r="15" spans="1:11" s="25" customFormat="1" ht="15" customHeight="1" x14ac:dyDescent="0.2">
      <c r="A15" s="251" t="str">
        <f>'1. паспорт местоположение'!A16</f>
        <v xml:space="preserve">         (наименование инвестиционного проекта)</v>
      </c>
      <c r="B15" s="251"/>
      <c r="C15" s="251"/>
      <c r="D15" s="251"/>
      <c r="E15" s="251"/>
      <c r="F15" s="251"/>
      <c r="G15" s="251"/>
      <c r="H15" s="251"/>
      <c r="I15" s="251"/>
      <c r="J15" s="251"/>
      <c r="K15" s="251"/>
    </row>
    <row r="16" spans="1:11" s="25" customFormat="1" ht="15" customHeight="1" x14ac:dyDescent="0.2">
      <c r="A16" s="15"/>
      <c r="B16" s="15"/>
      <c r="C16" s="15"/>
      <c r="D16" s="15"/>
      <c r="E16" s="15"/>
      <c r="F16" s="15"/>
      <c r="G16" s="15"/>
      <c r="H16" s="15"/>
      <c r="I16" s="15"/>
      <c r="J16" s="15"/>
      <c r="K16" s="15"/>
    </row>
    <row r="17" spans="1:14" ht="18.75" customHeight="1" x14ac:dyDescent="0.25">
      <c r="A17" s="156"/>
      <c r="B17" s="156"/>
      <c r="C17" s="156"/>
      <c r="D17" s="156"/>
      <c r="E17" s="156"/>
      <c r="F17" s="156"/>
      <c r="G17" s="156"/>
      <c r="H17" s="156"/>
      <c r="I17" s="156"/>
      <c r="J17" s="156"/>
      <c r="K17" s="156"/>
    </row>
    <row r="19" spans="1:14" x14ac:dyDescent="0.25">
      <c r="A19" s="311" t="s">
        <v>246</v>
      </c>
      <c r="B19" s="311"/>
      <c r="C19" s="311"/>
      <c r="D19" s="311"/>
      <c r="E19" s="311"/>
      <c r="F19" s="311"/>
      <c r="G19" s="311"/>
      <c r="H19" s="311"/>
      <c r="I19" s="311"/>
      <c r="J19" s="311"/>
      <c r="K19" s="311"/>
    </row>
    <row r="20" spans="1:14" ht="15.75" customHeight="1" x14ac:dyDescent="0.25">
      <c r="A20" s="313" t="s">
        <v>101</v>
      </c>
      <c r="B20" s="313" t="s">
        <v>100</v>
      </c>
      <c r="C20" s="315" t="s">
        <v>99</v>
      </c>
      <c r="D20" s="316"/>
      <c r="E20" s="317" t="s">
        <v>98</v>
      </c>
      <c r="F20" s="318"/>
      <c r="G20" s="313" t="s">
        <v>623</v>
      </c>
      <c r="H20" s="321" t="s">
        <v>624</v>
      </c>
      <c r="I20" s="322"/>
      <c r="J20" s="322"/>
      <c r="K20" s="323"/>
    </row>
    <row r="21" spans="1:14" ht="33" customHeight="1" x14ac:dyDescent="0.25">
      <c r="A21" s="314"/>
      <c r="B21" s="314"/>
      <c r="C21" s="301"/>
      <c r="D21" s="302"/>
      <c r="E21" s="319"/>
      <c r="F21" s="320"/>
      <c r="G21" s="314"/>
      <c r="H21" s="328" t="s">
        <v>0</v>
      </c>
      <c r="I21" s="329"/>
      <c r="J21" s="328" t="s">
        <v>425</v>
      </c>
      <c r="K21" s="329"/>
      <c r="L21" s="48"/>
      <c r="M21" s="48"/>
      <c r="N21" s="48"/>
    </row>
    <row r="22" spans="1:14" ht="99.75" customHeight="1" x14ac:dyDescent="0.25">
      <c r="A22" s="307"/>
      <c r="B22" s="307"/>
      <c r="C22" s="198" t="s">
        <v>0</v>
      </c>
      <c r="D22" s="198" t="s">
        <v>425</v>
      </c>
      <c r="E22" s="66" t="s">
        <v>625</v>
      </c>
      <c r="F22" s="66" t="s">
        <v>626</v>
      </c>
      <c r="G22" s="307"/>
      <c r="H22" s="49" t="s">
        <v>616</v>
      </c>
      <c r="I22" s="49" t="s">
        <v>617</v>
      </c>
      <c r="J22" s="49" t="s">
        <v>616</v>
      </c>
      <c r="K22" s="49" t="s">
        <v>617</v>
      </c>
    </row>
    <row r="23" spans="1:14" x14ac:dyDescent="0.25">
      <c r="A23" s="192">
        <v>1</v>
      </c>
      <c r="B23" s="192">
        <v>2</v>
      </c>
      <c r="C23" s="174">
        <v>3</v>
      </c>
      <c r="D23" s="174">
        <v>4</v>
      </c>
      <c r="E23" s="174">
        <v>5</v>
      </c>
      <c r="F23" s="174">
        <v>6</v>
      </c>
      <c r="G23" s="174">
        <v>7</v>
      </c>
      <c r="H23" s="174">
        <v>8</v>
      </c>
      <c r="I23" s="174">
        <v>9</v>
      </c>
      <c r="J23" s="174">
        <v>10</v>
      </c>
      <c r="K23" s="174">
        <v>11</v>
      </c>
    </row>
    <row r="24" spans="1:14" ht="47.25" x14ac:dyDescent="0.25">
      <c r="A24" s="50">
        <v>1</v>
      </c>
      <c r="B24" s="51" t="s">
        <v>97</v>
      </c>
      <c r="C24" s="173">
        <f>VLOOKUP($A$11,'[1]6.2. отчет'!$D:$K,2,0)</f>
        <v>121.84595323900001</v>
      </c>
      <c r="D24" s="173">
        <f>VLOOKUP($A$11,'[1]6.2. отчет'!$D:$K,5,0)</f>
        <v>121.84595323900001</v>
      </c>
      <c r="E24" s="173">
        <f>VLOOKUP($A$11,'[1]6.2. отчет'!$D:$K,7,0)</f>
        <v>60.973023163000008</v>
      </c>
      <c r="F24" s="173">
        <f>VLOOKUP($A$11,'[1]6.2. отчет'!$D:$K,8,0)</f>
        <v>9.2271044600000067</v>
      </c>
      <c r="G24" s="173">
        <f>VLOOKUP($A$11,'[1]6.2. отчет'!$D:$BL,9,0)</f>
        <v>51.745918703000001</v>
      </c>
      <c r="H24" s="173">
        <f>VLOOKUP($A$11,'[1]6.2. отчет'!$D:$BL,15,0)</f>
        <v>9.2271044599999978</v>
      </c>
      <c r="I24" s="173">
        <f>VLOOKUP($A$11,'[1]6.2. отчет'!$D:$CU,45,0)</f>
        <v>5.2148844399999978</v>
      </c>
      <c r="J24" s="173">
        <f>VLOOKUP($A$11,'[1]6.2. отчет'!$D:$BL,56,0)</f>
        <v>9.2271044599999996</v>
      </c>
      <c r="K24" s="173">
        <f>VLOOKUP($A$11,'[1]6.2. отчет'!$D:$CU,86,0)</f>
        <v>5.2148844399999996</v>
      </c>
    </row>
    <row r="25" spans="1:14" s="52" customFormat="1" ht="47.25" customHeight="1" x14ac:dyDescent="0.25">
      <c r="A25" s="53" t="s">
        <v>96</v>
      </c>
      <c r="B25" s="54" t="s">
        <v>95</v>
      </c>
      <c r="C25" s="173">
        <f t="shared" ref="C25:C26" si="0">H25</f>
        <v>0</v>
      </c>
      <c r="D25" s="173">
        <f>G25+J25</f>
        <v>0</v>
      </c>
      <c r="E25" s="173">
        <f t="shared" ref="E25:E28" si="1">F25+G25</f>
        <v>0</v>
      </c>
      <c r="F25" s="173">
        <f t="shared" ref="F25:F26" si="2">J25</f>
        <v>0</v>
      </c>
      <c r="G25" s="173">
        <f>VLOOKUP($A$11,'[1]6.2. отчет'!$D:$BL,10,0)</f>
        <v>0</v>
      </c>
      <c r="H25" s="173">
        <f>VLOOKUP($A$11,'[1]6.2. отчет'!$D:$BL,16,0)</f>
        <v>0</v>
      </c>
      <c r="I25" s="173">
        <f>IF(H25=0,0,VLOOKUP($A$11,'[1]6.2. отчет'!$D:$CU,46,0))</f>
        <v>0</v>
      </c>
      <c r="J25" s="173">
        <f>VLOOKUP($A$11,'[1]6.2. отчет'!$D:$BL,57,0)</f>
        <v>0</v>
      </c>
      <c r="K25" s="173">
        <f>IF(J25=0,0,VLOOKUP($A$11,'[1]6.2. отчет'!$D:$CU,87,0))</f>
        <v>0</v>
      </c>
    </row>
    <row r="26" spans="1:14" ht="24" customHeight="1" x14ac:dyDescent="0.25">
      <c r="A26" s="53" t="s">
        <v>94</v>
      </c>
      <c r="B26" s="54" t="s">
        <v>93</v>
      </c>
      <c r="C26" s="173">
        <f t="shared" si="0"/>
        <v>0</v>
      </c>
      <c r="D26" s="173">
        <f>G26+J26</f>
        <v>0</v>
      </c>
      <c r="E26" s="173">
        <f t="shared" si="1"/>
        <v>0</v>
      </c>
      <c r="F26" s="173">
        <f t="shared" si="2"/>
        <v>0</v>
      </c>
      <c r="G26" s="173">
        <f>VLOOKUP($A$11,'[1]6.2. отчет'!$D:$BL,11,0)</f>
        <v>0</v>
      </c>
      <c r="H26" s="173">
        <f>VLOOKUP($A$11,'[1]6.2. отчет'!$D:$BL,17,0)</f>
        <v>0</v>
      </c>
      <c r="I26" s="173">
        <f>IF(H26=0,0,VLOOKUP($A$11,'[1]6.2. отчет'!$D:$CU,47,0))</f>
        <v>0</v>
      </c>
      <c r="J26" s="173">
        <f>VLOOKUP($A$11,'[1]6.2. отчет'!$D:$BL,58,0)</f>
        <v>0</v>
      </c>
      <c r="K26" s="173">
        <f>IF(J26=0,0,VLOOKUP($A$11,'[1]6.2. отчет'!$D:$CU,88,0))</f>
        <v>0</v>
      </c>
    </row>
    <row r="27" spans="1:14" ht="31.5" x14ac:dyDescent="0.25">
      <c r="A27" s="53" t="s">
        <v>92</v>
      </c>
      <c r="B27" s="54" t="s">
        <v>197</v>
      </c>
      <c r="C27" s="173">
        <f>IF(C24="нд","нд",C24-(C29+C28+C26+C25))</f>
        <v>112.61884877900002</v>
      </c>
      <c r="D27" s="173">
        <f>G27+J27+D24-(G24+J24)</f>
        <v>62.277260261833341</v>
      </c>
      <c r="E27" s="173">
        <f>F27+G27</f>
        <v>10.631434645833339</v>
      </c>
      <c r="F27" s="173">
        <f>F24-(F25+F26+F28+F29)</f>
        <v>9.2271044600000067</v>
      </c>
      <c r="G27" s="173">
        <f>VLOOKUP($A$11,'[1]6.2. отчет'!$D:$BL,12,0)</f>
        <v>1.4043301858333321</v>
      </c>
      <c r="H27" s="173">
        <f>VLOOKUP($A$11,'[1]6.2. отчет'!$D:$BL,18,0)</f>
        <v>0</v>
      </c>
      <c r="I27" s="173">
        <f>IF(H27=0,0,VLOOKUP($A$11,'[1]6.2. отчет'!$D:$CU,48,0))</f>
        <v>0</v>
      </c>
      <c r="J27" s="173">
        <f>VLOOKUP($A$11,'[1]6.2. отчет'!$D:$BL,59,0)</f>
        <v>4.4408920985006262E-16</v>
      </c>
      <c r="K27" s="173">
        <f>IF(J27=0,0,VLOOKUP($A$11,'[1]6.2. отчет'!$D:$CU,89,0))</f>
        <v>0</v>
      </c>
    </row>
    <row r="28" spans="1:14" x14ac:dyDescent="0.25">
      <c r="A28" s="53" t="s">
        <v>91</v>
      </c>
      <c r="B28" s="54" t="s">
        <v>90</v>
      </c>
      <c r="C28" s="173">
        <f>H28</f>
        <v>0</v>
      </c>
      <c r="D28" s="173">
        <f t="shared" ref="D28:D29" si="3">G28+J28</f>
        <v>0</v>
      </c>
      <c r="E28" s="173">
        <f t="shared" si="1"/>
        <v>0</v>
      </c>
      <c r="F28" s="173">
        <v>0</v>
      </c>
      <c r="G28" s="173">
        <f>VLOOKUP($A$11,'[1]6.2. отчет'!$D:$BL,13,0)</f>
        <v>0</v>
      </c>
      <c r="H28" s="173">
        <f>VLOOKUP($A$11,'[1]6.2. отчет'!$D:$BL,19,0)</f>
        <v>0</v>
      </c>
      <c r="I28" s="173">
        <f>IF(H28=0,0,VLOOKUP($A$11,'[1]6.2. отчет'!$D:$CU,49,0))</f>
        <v>0</v>
      </c>
      <c r="J28" s="173">
        <f>VLOOKUP($A$11,'[1]6.2. отчет'!$D:$BL,60,0)</f>
        <v>0</v>
      </c>
      <c r="K28" s="173">
        <f>IF(J28=0,0,VLOOKUP($A$11,'[1]6.2. отчет'!$D:$CU,90,0))</f>
        <v>0</v>
      </c>
    </row>
    <row r="29" spans="1:14" x14ac:dyDescent="0.25">
      <c r="A29" s="53" t="s">
        <v>89</v>
      </c>
      <c r="B29" s="56" t="s">
        <v>88</v>
      </c>
      <c r="C29" s="173">
        <f>H29</f>
        <v>9.2271044599999978</v>
      </c>
      <c r="D29" s="173">
        <f t="shared" si="3"/>
        <v>59.56869297716667</v>
      </c>
      <c r="E29" s="173">
        <f>F29+G29</f>
        <v>50.34158851716667</v>
      </c>
      <c r="F29" s="173">
        <v>0</v>
      </c>
      <c r="G29" s="173">
        <f>VLOOKUP($A$11,'[1]6.2. отчет'!$D:$BL,14,0)</f>
        <v>50.34158851716667</v>
      </c>
      <c r="H29" s="173">
        <f>VLOOKUP($A$11,'[1]6.2. отчет'!$D:$BL,20,0)</f>
        <v>9.2271044599999978</v>
      </c>
      <c r="I29" s="173">
        <f>IF(H29=0,0,VLOOKUP($A$11,'[1]6.2. отчет'!$D:$CU,50,0))</f>
        <v>5.2148844399999978</v>
      </c>
      <c r="J29" s="173">
        <f>VLOOKUP($A$11,'[1]6.2. отчет'!$D:$BL,61,0)</f>
        <v>9.2271044599999996</v>
      </c>
      <c r="K29" s="173">
        <f>IF(J29=0,0,VLOOKUP($A$11,'[1]6.2. отчет'!$D:$CU,91,0))</f>
        <v>5.2148844399999996</v>
      </c>
    </row>
    <row r="30" spans="1:14" ht="47.25" x14ac:dyDescent="0.25">
      <c r="A30" s="50" t="s">
        <v>17</v>
      </c>
      <c r="B30" s="51" t="s">
        <v>87</v>
      </c>
      <c r="C30" s="173">
        <f>VLOOKUP($A$11,'[1]6.2. отчет'!$D:$DB,99,0)</f>
        <v>102.40397553</v>
      </c>
      <c r="D30" s="173">
        <f>VLOOKUP($A$11,'[1]6.2. отчет'!$D:$FK,106,0)</f>
        <v>102.40397553</v>
      </c>
      <c r="E30" s="173">
        <f>VLOOKUP($A$11,'[1]6.2. отчет'!$D:$FK,108,0)</f>
        <v>49.299580989999995</v>
      </c>
      <c r="F30" s="173">
        <f>VLOOKUP($A$11,'[1]6.2. отчет'!$D:$FK,109,0)</f>
        <v>2.8372799999999927</v>
      </c>
      <c r="G30" s="173">
        <f>VLOOKUP($A$11,'[1]6.2. отчет'!$D:$FK,110,0)</f>
        <v>46.462300990000003</v>
      </c>
      <c r="H30" s="173">
        <f>VLOOKUP($A$11,'[1]6.2. отчет'!$D:$FK,115,0)</f>
        <v>2.8372799999999998</v>
      </c>
      <c r="I30" s="173">
        <f>VLOOKUP($A$11,'[1]6.2. отчет'!$D:$AGP,124,0)</f>
        <v>0</v>
      </c>
      <c r="J30" s="173">
        <f>VLOOKUP($A$11,'[1]6.2. отчет'!$D:$FK,130,0)</f>
        <v>2.8372799999999998</v>
      </c>
      <c r="K30" s="173">
        <f>VLOOKUP($A$11,'[1]6.2. отчет'!$D:$FK,155,0)</f>
        <v>0</v>
      </c>
      <c r="M30" s="64"/>
      <c r="N30" s="64"/>
    </row>
    <row r="31" spans="1:14" s="52" customFormat="1" x14ac:dyDescent="0.25">
      <c r="A31" s="50" t="s">
        <v>86</v>
      </c>
      <c r="B31" s="54" t="s">
        <v>85</v>
      </c>
      <c r="C31" s="173">
        <f>VLOOKUP($A$11,'[1]6.2. отчет'!$D:$DB,100,0)</f>
        <v>8.1954568299999995</v>
      </c>
      <c r="D31" s="173">
        <v>8.1954568299999995</v>
      </c>
      <c r="E31" s="173">
        <f>F31+G31</f>
        <v>0</v>
      </c>
      <c r="F31" s="173">
        <v>0</v>
      </c>
      <c r="G31" s="173">
        <f>VLOOKUP($A$11,'[1]6.2. отчет'!$D:$FK,111,0)</f>
        <v>0</v>
      </c>
      <c r="H31" s="173">
        <v>0</v>
      </c>
      <c r="I31" s="173">
        <f>IF(H31=0,0,VLOOKUP($A$11,'[1]6.2. отчет'!$D:$CU,50,0))</f>
        <v>0</v>
      </c>
      <c r="J31" s="173">
        <f>VLOOKUP($A$11,'[1]6.2. отчет'!$D:$FK,131,0)</f>
        <v>0</v>
      </c>
      <c r="K31" s="173">
        <f>IF(J31=0,0,VLOOKUP($A$11,'[1]6.2. отчет'!$D:$FK,156,0))</f>
        <v>0</v>
      </c>
      <c r="M31" s="64"/>
      <c r="N31" s="64"/>
    </row>
    <row r="32" spans="1:14" ht="31.5" x14ac:dyDescent="0.25">
      <c r="A32" s="50" t="s">
        <v>84</v>
      </c>
      <c r="B32" s="54" t="s">
        <v>83</v>
      </c>
      <c r="C32" s="173">
        <f>VLOOKUP($A$11,'[1]6.2. отчет'!$D:$DB,101,0)</f>
        <v>69.693890379999999</v>
      </c>
      <c r="D32" s="173">
        <v>69.693890379999999</v>
      </c>
      <c r="E32" s="173">
        <f t="shared" ref="E32:E34" si="4">F32+G32</f>
        <v>35.543393770000002</v>
      </c>
      <c r="F32" s="173">
        <v>0</v>
      </c>
      <c r="G32" s="173">
        <f>VLOOKUP($A$11,'[1]6.2. отчет'!$D:$FK,112,0)</f>
        <v>35.543393770000002</v>
      </c>
      <c r="H32" s="173">
        <v>0</v>
      </c>
      <c r="I32" s="173">
        <v>0</v>
      </c>
      <c r="J32" s="173">
        <f>VLOOKUP($A$11,'[1]6.2. отчет'!$D:$FK,132,0)</f>
        <v>0</v>
      </c>
      <c r="K32" s="173">
        <f>IF(J32=0,0,VLOOKUP($A$11,'[1]6.2. отчет'!$D:$FK,157,0))</f>
        <v>0</v>
      </c>
      <c r="L32" s="64"/>
      <c r="M32" s="64"/>
      <c r="N32" s="64"/>
    </row>
    <row r="33" spans="1:15" x14ac:dyDescent="0.25">
      <c r="A33" s="50" t="s">
        <v>82</v>
      </c>
      <c r="B33" s="54" t="s">
        <v>81</v>
      </c>
      <c r="C33" s="173">
        <f>VLOOKUP($A$11,'[1]6.2. отчет'!$D:$DB,102,0)</f>
        <v>14.59547594</v>
      </c>
      <c r="D33" s="173">
        <v>14.59547594</v>
      </c>
      <c r="E33" s="173">
        <f t="shared" si="4"/>
        <v>5.54179888</v>
      </c>
      <c r="F33" s="173">
        <v>0</v>
      </c>
      <c r="G33" s="173">
        <f>VLOOKUP($A$11,'[1]6.2. отчет'!$D:$FK,113,0)</f>
        <v>5.54179888</v>
      </c>
      <c r="H33" s="173">
        <v>0</v>
      </c>
      <c r="I33" s="173">
        <v>0</v>
      </c>
      <c r="J33" s="173">
        <f>VLOOKUP($A$11,'[1]6.2. отчет'!$D:$FK,133,0)</f>
        <v>0</v>
      </c>
      <c r="K33" s="173">
        <f>IF(J33=0,0,VLOOKUP($A$11,'[1]6.2. отчет'!$D:$FK,158,0))</f>
        <v>0</v>
      </c>
      <c r="L33" s="64"/>
      <c r="M33" s="64"/>
      <c r="N33" s="64"/>
      <c r="O33" s="64"/>
    </row>
    <row r="34" spans="1:15" x14ac:dyDescent="0.25">
      <c r="A34" s="50" t="s">
        <v>80</v>
      </c>
      <c r="B34" s="54" t="s">
        <v>79</v>
      </c>
      <c r="C34" s="173">
        <f>VLOOKUP($A$11,'[1]6.2. отчет'!$D:$DB,103,0)</f>
        <v>9.9191523799999981</v>
      </c>
      <c r="D34" s="173">
        <v>9.9191523799999999</v>
      </c>
      <c r="E34" s="173">
        <f t="shared" si="4"/>
        <v>8.214388339999994</v>
      </c>
      <c r="F34" s="173">
        <f>F30</f>
        <v>2.8372799999999927</v>
      </c>
      <c r="G34" s="173">
        <f>VLOOKUP($A$11,'[1]6.2. отчет'!$D:$FK,114,0)</f>
        <v>5.3771083400000013</v>
      </c>
      <c r="H34" s="173">
        <f>H30</f>
        <v>2.8372799999999998</v>
      </c>
      <c r="I34" s="173">
        <v>0</v>
      </c>
      <c r="J34" s="173">
        <f>VLOOKUP($A$11,'[1]6.2. отчет'!$D:$FK,134,0)</f>
        <v>2.8372799999999998</v>
      </c>
      <c r="K34" s="173">
        <f>IF(J34=0,0,VLOOKUP($A$11,'[1]6.2. отчет'!$D:$FK,159,0))</f>
        <v>0</v>
      </c>
      <c r="L34" s="64"/>
      <c r="M34" s="64"/>
      <c r="N34" s="64"/>
    </row>
    <row r="35" spans="1:15" ht="31.5" x14ac:dyDescent="0.25">
      <c r="A35" s="50" t="s">
        <v>16</v>
      </c>
      <c r="B35" s="51" t="s">
        <v>78</v>
      </c>
      <c r="C35" s="173"/>
      <c r="D35" s="173"/>
      <c r="E35" s="173"/>
      <c r="F35" s="173"/>
      <c r="G35" s="173"/>
      <c r="H35" s="173"/>
      <c r="I35" s="55"/>
      <c r="J35" s="173"/>
      <c r="K35" s="55"/>
      <c r="M35" s="52"/>
    </row>
    <row r="36" spans="1:15" s="52" customFormat="1" ht="31.5" x14ac:dyDescent="0.25">
      <c r="A36" s="53" t="s">
        <v>77</v>
      </c>
      <c r="B36" s="67" t="s">
        <v>76</v>
      </c>
      <c r="C36" s="173">
        <f>IF('1. паспорт местоположение'!$C$22="Прочие инвестиционные проекты",0,VLOOKUP($A$11,'[1]6.2. отчет'!$D:$FX,168,0))</f>
        <v>0</v>
      </c>
      <c r="D36" s="225">
        <v>0</v>
      </c>
      <c r="E36" s="173">
        <f>F36+G36</f>
        <v>0</v>
      </c>
      <c r="F36" s="173">
        <f>C36-G36</f>
        <v>0</v>
      </c>
      <c r="G36" s="173">
        <v>0</v>
      </c>
      <c r="H36" s="173">
        <f>IF('1. паспорт местоположение'!$C$22="Прочие инвестиционные проекты",0,VLOOKUP($A$11,'[1]6.2. отчет'!$D:$AGO,191,0))</f>
        <v>0</v>
      </c>
      <c r="I36" s="173">
        <f>IF('1. паспорт местоположение'!$C$22="Прочие инвестиционные проекты",0,VLOOKUP($A$11,'[1]6.2. отчет'!$D:$AGO,246,0))</f>
        <v>0</v>
      </c>
      <c r="J36" s="173">
        <f>IF('1. паспорт местоположение'!$C$22="Прочие инвестиционные проекты",0,VLOOKUP($A$11,'[1]6.2. отчет'!$D:$AGO,257,0))</f>
        <v>0</v>
      </c>
      <c r="K36" s="173">
        <f>IF('1. паспорт местоположение'!$C$22="Прочие инвестиционные проекты",0,VLOOKUP($A$11,'[1]6.2. отчет'!$D:$AGO,312,0))</f>
        <v>0</v>
      </c>
    </row>
    <row r="37" spans="1:15" x14ac:dyDescent="0.25">
      <c r="A37" s="53" t="s">
        <v>75</v>
      </c>
      <c r="B37" s="67" t="s">
        <v>65</v>
      </c>
      <c r="C37" s="173">
        <f>IF('1. паспорт местоположение'!$C$22="Прочие инвестиционные проекты",0,VLOOKUP($A$11,'[1]6.2. отчет'!$D:$FX,169,0))</f>
        <v>4.133</v>
      </c>
      <c r="D37" s="225">
        <f>VLOOKUP($A$11,'[1]6.2. отчет'!$D:$OZ,410,0)</f>
        <v>4.133</v>
      </c>
      <c r="E37" s="173">
        <f t="shared" ref="E37:E42" si="5">F37+G37</f>
        <v>4.133</v>
      </c>
      <c r="F37" s="173">
        <f t="shared" ref="F37:F42" si="6">C37-G37</f>
        <v>4.133</v>
      </c>
      <c r="G37" s="173">
        <v>0</v>
      </c>
      <c r="H37" s="173">
        <f>IF('1. паспорт местоположение'!$C$22="Прочие инвестиционные проекты",0,VLOOKUP($A$11,'[1]6.2. отчет'!$D:$AGO,192,0))</f>
        <v>4.133</v>
      </c>
      <c r="I37" s="173">
        <f>IF('1. паспорт местоположение'!$C$22="Прочие инвестиционные проекты",0,VLOOKUP($A$11,'[1]6.2. отчет'!$D:$AGO,247,0))</f>
        <v>4.133</v>
      </c>
      <c r="J37" s="173">
        <f>IF('1. паспорт местоположение'!$C$22="Прочие инвестиционные проекты",0,VLOOKUP($A$11,'[1]6.2. отчет'!$D:$AGO,258,0))</f>
        <v>4.133</v>
      </c>
      <c r="K37" s="173">
        <f>IF('1. паспорт местоположение'!$C$22="Прочие инвестиционные проекты",0,VLOOKUP($A$11,'[1]6.2. отчет'!$D:$AGO,313,0))</f>
        <v>0</v>
      </c>
    </row>
    <row r="38" spans="1:15" x14ac:dyDescent="0.25">
      <c r="A38" s="53" t="s">
        <v>74</v>
      </c>
      <c r="B38" s="67" t="s">
        <v>63</v>
      </c>
      <c r="C38" s="173">
        <f>IF('1. паспорт местоположение'!$C$22="Прочие инвестиционные проекты",0,VLOOKUP($A$11,'[1]6.2. отчет'!$D:$FX,170,0))</f>
        <v>0</v>
      </c>
      <c r="D38" s="225">
        <f>VLOOKUP($A$11,'[1]6.2. отчет'!$D:$OZ,411,0)</f>
        <v>0</v>
      </c>
      <c r="E38" s="173">
        <f t="shared" si="5"/>
        <v>0</v>
      </c>
      <c r="F38" s="173">
        <f t="shared" si="6"/>
        <v>0</v>
      </c>
      <c r="G38" s="173">
        <v>0</v>
      </c>
      <c r="H38" s="173">
        <f>IF('1. паспорт местоположение'!$C$22="Прочие инвестиционные проекты",0,VLOOKUP($A$11,'[1]6.2. отчет'!$D:$AGO,193,0))</f>
        <v>0</v>
      </c>
      <c r="I38" s="173">
        <f>IF('1. паспорт местоположение'!$C$22="Прочие инвестиционные проекты",0,VLOOKUP($A$11,'[1]6.2. отчет'!$D:$AGO,248,0))</f>
        <v>0</v>
      </c>
      <c r="J38" s="173">
        <f>IF('1. паспорт местоположение'!$C$22="Прочие инвестиционные проекты",0,VLOOKUP($A$11,'[1]6.2. отчет'!$D:$AGO,259,0))</f>
        <v>0</v>
      </c>
      <c r="K38" s="173">
        <f>IF('1. паспорт местоположение'!$C$22="Прочие инвестиционные проекты",0,VLOOKUP($A$11,'[1]6.2. отчет'!$D:$AGO,314,0))</f>
        <v>0</v>
      </c>
    </row>
    <row r="39" spans="1:15" ht="31.5" x14ac:dyDescent="0.25">
      <c r="A39" s="53" t="s">
        <v>73</v>
      </c>
      <c r="B39" s="54" t="s">
        <v>61</v>
      </c>
      <c r="C39" s="173">
        <f>IF('1. паспорт местоположение'!$C$22="Прочие инвестиционные проекты",0,VLOOKUP($A$11,'[1]6.2. отчет'!$D:$FX,172,0))</f>
        <v>87.858000000000004</v>
      </c>
      <c r="D39" s="225">
        <f>VLOOKUP($A$11,'[1]6.2. отчет'!$D:$OZ,409,0)</f>
        <v>87.858000000000004</v>
      </c>
      <c r="E39" s="173">
        <f t="shared" si="5"/>
        <v>87.858000000000004</v>
      </c>
      <c r="F39" s="173">
        <f t="shared" si="6"/>
        <v>87.858000000000004</v>
      </c>
      <c r="G39" s="173">
        <v>0</v>
      </c>
      <c r="H39" s="173">
        <f>IF('1. паспорт местоположение'!$C$22="Прочие инвестиционные проекты",0,VLOOKUP($A$11,'[1]6.2. отчет'!$D:$AGO,195,0))</f>
        <v>87.858000000000004</v>
      </c>
      <c r="I39" s="173">
        <f>IF('1. паспорт местоположение'!$C$22="Прочие инвестиционные проекты",0,VLOOKUP($A$11,'[1]6.2. отчет'!$D:$AGO,250,0))</f>
        <v>87.858000000000004</v>
      </c>
      <c r="J39" s="173">
        <f>IF('1. паспорт местоположение'!$C$22="Прочие инвестиционные проекты",0,VLOOKUP($A$11,'[1]6.2. отчет'!$D:$AGO,261,0))</f>
        <v>87.858000000000004</v>
      </c>
      <c r="K39" s="173">
        <f>IF('1. паспорт местоположение'!$C$22="Прочие инвестиционные проекты",0,VLOOKUP($A$11,'[1]6.2. отчет'!$D:$AGO,316,0))</f>
        <v>0</v>
      </c>
    </row>
    <row r="40" spans="1:15" ht="31.5" x14ac:dyDescent="0.25">
      <c r="A40" s="53" t="s">
        <v>72</v>
      </c>
      <c r="B40" s="54" t="s">
        <v>59</v>
      </c>
      <c r="C40" s="173">
        <f>IF('1. паспорт местоположение'!$C$22="Прочие инвестиционные проекты",0,VLOOKUP($A$11,'[1]6.2. отчет'!$D:$FX,173,0))</f>
        <v>0</v>
      </c>
      <c r="D40" s="225">
        <v>0</v>
      </c>
      <c r="E40" s="173">
        <f t="shared" si="5"/>
        <v>0</v>
      </c>
      <c r="F40" s="173">
        <f t="shared" si="6"/>
        <v>0</v>
      </c>
      <c r="G40" s="173">
        <v>0</v>
      </c>
      <c r="H40" s="173">
        <f>IF('1. паспорт местоположение'!$C$22="Прочие инвестиционные проекты",0,VLOOKUP($A$11,'[1]6.2. отчет'!$D:$AGO,196,0))</f>
        <v>0</v>
      </c>
      <c r="I40" s="173">
        <f>IF('1. паспорт местоположение'!$C$22="Прочие инвестиционные проекты",0,VLOOKUP($A$11,'[1]6.2. отчет'!$D:$AGO,251,0))</f>
        <v>0</v>
      </c>
      <c r="J40" s="173">
        <f>IF('1. паспорт местоположение'!$C$22="Прочие инвестиционные проекты",0,VLOOKUP($A$11,'[1]6.2. отчет'!$D:$AGO,262,0))</f>
        <v>0</v>
      </c>
      <c r="K40" s="173">
        <f>IF('1. паспорт местоположение'!$C$22="Прочие инвестиционные проекты",0,VLOOKUP($A$11,'[1]6.2. отчет'!$D:$AGO,317,0))</f>
        <v>0</v>
      </c>
    </row>
    <row r="41" spans="1:15" x14ac:dyDescent="0.25">
      <c r="A41" s="53" t="s">
        <v>71</v>
      </c>
      <c r="B41" s="54" t="s">
        <v>57</v>
      </c>
      <c r="C41" s="173">
        <f>IF('1. паспорт местоположение'!$C$22="Прочие инвестиционные проекты",0,VLOOKUP($A$11,'[1]6.2. отчет'!$D:$FX,174,0))</f>
        <v>0</v>
      </c>
      <c r="D41" s="225">
        <v>0</v>
      </c>
      <c r="E41" s="173">
        <f t="shared" si="5"/>
        <v>0</v>
      </c>
      <c r="F41" s="173">
        <f t="shared" si="6"/>
        <v>0</v>
      </c>
      <c r="G41" s="173">
        <v>0</v>
      </c>
      <c r="H41" s="173">
        <f>IF('1. паспорт местоположение'!$C$22="Прочие инвестиционные проекты",0,VLOOKUP($A$11,'[1]6.2. отчет'!$D:$AGO,197,0))</f>
        <v>0</v>
      </c>
      <c r="I41" s="173">
        <f>IF('1. паспорт местоположение'!$C$22="Прочие инвестиционные проекты",0,VLOOKUP($A$11,'[1]6.2. отчет'!$D:$AGO,252,0))</f>
        <v>0</v>
      </c>
      <c r="J41" s="173">
        <f>IF('1. паспорт местоположение'!$C$22="Прочие инвестиционные проекты",0,VLOOKUP($A$11,'[1]6.2. отчет'!$D:$AGO,263,0))</f>
        <v>0</v>
      </c>
      <c r="K41" s="173">
        <f>IF('1. паспорт местоположение'!$C$22="Прочие инвестиционные проекты",0,VLOOKUP($A$11,'[1]6.2. отчет'!$D:$AGO,318,0))</f>
        <v>0</v>
      </c>
    </row>
    <row r="42" spans="1:15" x14ac:dyDescent="0.25">
      <c r="A42" s="53" t="s">
        <v>70</v>
      </c>
      <c r="B42" s="67" t="s">
        <v>450</v>
      </c>
      <c r="C42" s="173">
        <f>IF('1. паспорт местоположение'!$C$22="Прочие инвестиционные проекты",0,VLOOKUP($A$11,'[1]6.2. отчет'!$D:$FX,177,0))</f>
        <v>0</v>
      </c>
      <c r="D42" s="225">
        <f>VLOOKUP($A$11,'[1]6.2. отчет'!$D:$OZ,412,0)</f>
        <v>0</v>
      </c>
      <c r="E42" s="173">
        <f t="shared" si="5"/>
        <v>0</v>
      </c>
      <c r="F42" s="173">
        <f t="shared" si="6"/>
        <v>0</v>
      </c>
      <c r="G42" s="173">
        <v>0</v>
      </c>
      <c r="H42" s="173">
        <f>IF('1. паспорт местоположение'!$C$22="Прочие инвестиционные проекты",0,VLOOKUP($A$11,'[1]6.2. отчет'!$D:$AGO,200,0))</f>
        <v>0</v>
      </c>
      <c r="I42" s="173">
        <f>IF('1. паспорт местоположение'!$C$22="Прочие инвестиционные проекты",0,VLOOKUP($A$11,'[1]6.2. отчет'!$D:$AGO,255,0))</f>
        <v>0</v>
      </c>
      <c r="J42" s="173">
        <f>IF('1. паспорт местоположение'!$C$22="Прочие инвестиционные проекты",0,VLOOKUP($A$11,'[1]6.2. отчет'!$D:$AGO,266,0))</f>
        <v>0</v>
      </c>
      <c r="K42" s="173">
        <f>IF('1. паспорт местоположение'!$C$22="Прочие инвестиционные проекты",0,VLOOKUP($A$11,'[1]6.2. отчет'!$D:$AGO,321,0))</f>
        <v>0</v>
      </c>
    </row>
    <row r="43" spans="1:15" x14ac:dyDescent="0.25">
      <c r="A43" s="50" t="s">
        <v>15</v>
      </c>
      <c r="B43" s="51" t="s">
        <v>69</v>
      </c>
      <c r="C43" s="173"/>
      <c r="D43" s="225"/>
      <c r="E43" s="173"/>
      <c r="F43" s="173"/>
      <c r="G43" s="173"/>
      <c r="H43" s="173"/>
      <c r="I43" s="55"/>
      <c r="J43" s="173"/>
      <c r="K43" s="55"/>
    </row>
    <row r="44" spans="1:15" s="52" customFormat="1" x14ac:dyDescent="0.25">
      <c r="A44" s="53" t="s">
        <v>68</v>
      </c>
      <c r="B44" s="54" t="s">
        <v>67</v>
      </c>
      <c r="C44" s="173">
        <f>VLOOKUP($A$11,'[1]6.2. отчет'!$D:$FX,168,0)</f>
        <v>0</v>
      </c>
      <c r="D44" s="225">
        <v>0</v>
      </c>
      <c r="E44" s="173">
        <f t="shared" ref="E44:E50" si="7">F44+G44</f>
        <v>0</v>
      </c>
      <c r="F44" s="173">
        <f t="shared" ref="F44:F50" si="8">C44-G44</f>
        <v>0</v>
      </c>
      <c r="G44" s="173">
        <f>VLOOKUP($A$11,'[1]6.2. отчет'!$D:$GJ,180,0)</f>
        <v>0</v>
      </c>
      <c r="H44" s="173">
        <f>VLOOKUP($A$11,'[1]6.2. отчет'!$D:$AGO,191,0)</f>
        <v>0</v>
      </c>
      <c r="I44" s="173">
        <f>VLOOKUP($A$11,'[1]6.2. отчет'!$D:$AGO,246,0)</f>
        <v>0</v>
      </c>
      <c r="J44" s="173">
        <f>VLOOKUP($A$11,'[1]6.2. отчет'!$D:$AGO,257,0)</f>
        <v>0</v>
      </c>
      <c r="K44" s="173">
        <f>VLOOKUP($A$11,'[1]6.2. отчет'!$D:$AGO,312,0)</f>
        <v>0</v>
      </c>
    </row>
    <row r="45" spans="1:15" x14ac:dyDescent="0.25">
      <c r="A45" s="53" t="s">
        <v>66</v>
      </c>
      <c r="B45" s="54" t="s">
        <v>65</v>
      </c>
      <c r="C45" s="173">
        <f>VLOOKUP($A$11,'[1]6.2. отчет'!$D:$FX,169,0)</f>
        <v>4.133</v>
      </c>
      <c r="D45" s="225">
        <f>VLOOKUP($A$11,'[1]6.2. отчет'!$D:$OZ,410,0)</f>
        <v>4.133</v>
      </c>
      <c r="E45" s="173">
        <f t="shared" si="7"/>
        <v>4.133</v>
      </c>
      <c r="F45" s="173">
        <f t="shared" si="8"/>
        <v>4.133</v>
      </c>
      <c r="G45" s="173">
        <f>VLOOKUP($A$11,'[1]6.2. отчет'!$D:$GJ,181,0)</f>
        <v>0</v>
      </c>
      <c r="H45" s="173">
        <f>VLOOKUP($A$11,'[1]6.2. отчет'!$D:$AGO,192,0)</f>
        <v>4.133</v>
      </c>
      <c r="I45" s="173">
        <f>VLOOKUP($A$11,'[1]6.2. отчет'!$D:$AGO,247,0)</f>
        <v>4.133</v>
      </c>
      <c r="J45" s="173">
        <f>VLOOKUP($A$11,'[1]6.2. отчет'!$D:$AGO,258,0)</f>
        <v>4.133</v>
      </c>
      <c r="K45" s="173">
        <f>VLOOKUP($A$11,'[1]6.2. отчет'!$D:$AGO,313,0)</f>
        <v>0</v>
      </c>
    </row>
    <row r="46" spans="1:15" x14ac:dyDescent="0.25">
      <c r="A46" s="53" t="s">
        <v>64</v>
      </c>
      <c r="B46" s="54" t="s">
        <v>63</v>
      </c>
      <c r="C46" s="173">
        <f>VLOOKUP($A$11,'[1]6.2. отчет'!$D:$FX,170,0)</f>
        <v>0</v>
      </c>
      <c r="D46" s="225">
        <f>VLOOKUP($A$11,'[1]6.2. отчет'!$D:$OZ,411,0)</f>
        <v>0</v>
      </c>
      <c r="E46" s="173">
        <f t="shared" si="7"/>
        <v>0</v>
      </c>
      <c r="F46" s="173">
        <f t="shared" si="8"/>
        <v>0</v>
      </c>
      <c r="G46" s="173">
        <f>VLOOKUP($A$11,'[1]6.2. отчет'!$D:$GJ,182,0)</f>
        <v>0</v>
      </c>
      <c r="H46" s="173">
        <f>VLOOKUP($A$11,'[1]6.2. отчет'!$D:$AGO,193,0)</f>
        <v>0</v>
      </c>
      <c r="I46" s="173">
        <f>VLOOKUP($A$11,'[1]6.2. отчет'!$D:$AGO,248,0)</f>
        <v>0</v>
      </c>
      <c r="J46" s="173">
        <f>VLOOKUP($A$11,'[1]6.2. отчет'!$D:$AGO,259,0)</f>
        <v>0</v>
      </c>
      <c r="K46" s="173">
        <f>VLOOKUP($A$11,'[1]6.2. отчет'!$D:$AGO,314,0)</f>
        <v>0</v>
      </c>
    </row>
    <row r="47" spans="1:15" ht="31.5" x14ac:dyDescent="0.25">
      <c r="A47" s="53" t="s">
        <v>62</v>
      </c>
      <c r="B47" s="54" t="s">
        <v>61</v>
      </c>
      <c r="C47" s="173">
        <f>VLOOKUP($A$11,'[1]6.2. отчет'!$D:$FX,172,0)</f>
        <v>87.858000000000004</v>
      </c>
      <c r="D47" s="225">
        <f>VLOOKUP($A$11,'[1]6.2. отчет'!$D:$OZ,409,0)</f>
        <v>87.858000000000004</v>
      </c>
      <c r="E47" s="173">
        <f t="shared" si="7"/>
        <v>87.858000000000004</v>
      </c>
      <c r="F47" s="173">
        <f t="shared" si="8"/>
        <v>87.858000000000004</v>
      </c>
      <c r="G47" s="173">
        <f>VLOOKUP($A$11,'[1]6.2. отчет'!$D:$GJ,184,0)</f>
        <v>0</v>
      </c>
      <c r="H47" s="173">
        <f>VLOOKUP($A$11,'[1]6.2. отчет'!$D:$AGO,195,0)</f>
        <v>87.858000000000004</v>
      </c>
      <c r="I47" s="173">
        <f>VLOOKUP($A$11,'[1]6.2. отчет'!$D:$AGO,250,0)</f>
        <v>87.858000000000004</v>
      </c>
      <c r="J47" s="173">
        <f>VLOOKUP($A$11,'[1]6.2. отчет'!$D:$AGO,261,0)</f>
        <v>87.858000000000004</v>
      </c>
      <c r="K47" s="173">
        <f>VLOOKUP($A$11,'[1]6.2. отчет'!$D:$AGO,316,0)</f>
        <v>0</v>
      </c>
    </row>
    <row r="48" spans="1:15" ht="31.5" x14ac:dyDescent="0.25">
      <c r="A48" s="53" t="s">
        <v>60</v>
      </c>
      <c r="B48" s="54" t="s">
        <v>59</v>
      </c>
      <c r="C48" s="173">
        <f>VLOOKUP($A$11,'[1]6.2. отчет'!$D:$FX,173,0)</f>
        <v>0</v>
      </c>
      <c r="D48" s="225">
        <v>0</v>
      </c>
      <c r="E48" s="173">
        <f t="shared" si="7"/>
        <v>0</v>
      </c>
      <c r="F48" s="173">
        <f t="shared" si="8"/>
        <v>0</v>
      </c>
      <c r="G48" s="173">
        <f>VLOOKUP($A$11,'[1]6.2. отчет'!$D:$GJ,185,0)</f>
        <v>0</v>
      </c>
      <c r="H48" s="173">
        <f>VLOOKUP($A$11,'[1]6.2. отчет'!$D:$AGO,196,0)</f>
        <v>0</v>
      </c>
      <c r="I48" s="173">
        <f>VLOOKUP($A$11,'[1]6.2. отчет'!$D:$AGO,251,0)</f>
        <v>0</v>
      </c>
      <c r="J48" s="173">
        <f>VLOOKUP($A$11,'[1]6.2. отчет'!$D:$AGO,262,0)</f>
        <v>0</v>
      </c>
      <c r="K48" s="173">
        <f>VLOOKUP($A$11,'[1]6.2. отчет'!$D:$AGO,317,0)</f>
        <v>0</v>
      </c>
    </row>
    <row r="49" spans="1:11" x14ac:dyDescent="0.25">
      <c r="A49" s="53" t="s">
        <v>58</v>
      </c>
      <c r="B49" s="54" t="s">
        <v>57</v>
      </c>
      <c r="C49" s="173">
        <f>VLOOKUP($A$11,'[1]6.2. отчет'!$D:$FX,174,0)</f>
        <v>0</v>
      </c>
      <c r="D49" s="225">
        <v>0</v>
      </c>
      <c r="E49" s="173">
        <f t="shared" si="7"/>
        <v>0</v>
      </c>
      <c r="F49" s="173">
        <f t="shared" si="8"/>
        <v>0</v>
      </c>
      <c r="G49" s="173">
        <f>VLOOKUP($A$11,'[1]6.2. отчет'!$D:$GJ,186,0)</f>
        <v>0</v>
      </c>
      <c r="H49" s="173">
        <f>VLOOKUP($A$11,'[1]6.2. отчет'!$D:$AGO,197,0)</f>
        <v>0</v>
      </c>
      <c r="I49" s="173">
        <f>VLOOKUP($A$11,'[1]6.2. отчет'!$D:$AGO,252,0)</f>
        <v>0</v>
      </c>
      <c r="J49" s="173">
        <f>VLOOKUP($A$11,'[1]6.2. отчет'!$D:$AGO,263,0)</f>
        <v>0</v>
      </c>
      <c r="K49" s="173">
        <f>VLOOKUP($A$11,'[1]6.2. отчет'!$D:$AGO,318,0)</f>
        <v>0</v>
      </c>
    </row>
    <row r="50" spans="1:11" x14ac:dyDescent="0.25">
      <c r="A50" s="53" t="s">
        <v>56</v>
      </c>
      <c r="B50" s="54" t="s">
        <v>450</v>
      </c>
      <c r="C50" s="173">
        <f>VLOOKUP($A$11,'[1]6.2. отчет'!$D:$FX,177,0)</f>
        <v>0</v>
      </c>
      <c r="D50" s="225">
        <f>VLOOKUP($A$11,'[1]6.2. отчет'!$D:$OZ,412,0)</f>
        <v>0</v>
      </c>
      <c r="E50" s="173">
        <f t="shared" si="7"/>
        <v>0</v>
      </c>
      <c r="F50" s="173">
        <f t="shared" si="8"/>
        <v>0</v>
      </c>
      <c r="G50" s="173">
        <f>VLOOKUP($A$11,'[1]6.2. отчет'!$D:$GJ,189,0)</f>
        <v>0</v>
      </c>
      <c r="H50" s="173">
        <f>VLOOKUP($A$11,'[1]6.2. отчет'!$D:$AGO,200,0)</f>
        <v>0</v>
      </c>
      <c r="I50" s="173">
        <f>VLOOKUP($A$11,'[1]6.2. отчет'!$D:$AGO,255,0)</f>
        <v>0</v>
      </c>
      <c r="J50" s="173">
        <f>VLOOKUP($A$11,'[1]6.2. отчет'!$D:$AGO,266,0)</f>
        <v>0</v>
      </c>
      <c r="K50" s="173">
        <f>VLOOKUP($A$11,'[1]6.2. отчет'!$D:$AGO,321,0)</f>
        <v>0</v>
      </c>
    </row>
    <row r="51" spans="1:11" s="52" customFormat="1" ht="35.25" customHeight="1" x14ac:dyDescent="0.25">
      <c r="A51" s="50" t="s">
        <v>13</v>
      </c>
      <c r="B51" s="51" t="s">
        <v>55</v>
      </c>
      <c r="C51" s="173"/>
      <c r="D51" s="225"/>
      <c r="E51" s="173"/>
      <c r="F51" s="173"/>
      <c r="G51" s="173"/>
      <c r="H51" s="173"/>
      <c r="I51" s="55"/>
      <c r="J51" s="173"/>
      <c r="K51" s="55"/>
    </row>
    <row r="52" spans="1:11" x14ac:dyDescent="0.25">
      <c r="A52" s="53" t="s">
        <v>54</v>
      </c>
      <c r="B52" s="54" t="s">
        <v>53</v>
      </c>
      <c r="C52" s="173">
        <f>VLOOKUP($A$11,'[1]6.2. отчет'!$D:$FX,167,0)</f>
        <v>102.40397553</v>
      </c>
      <c r="D52" s="225">
        <f>VLOOKUP($A$11,'[1]6.2. отчет'!$D:$OZ,413,0)</f>
        <v>102.40397553</v>
      </c>
      <c r="E52" s="173">
        <f t="shared" ref="E52:E57" si="9">F52+G52</f>
        <v>102.40397553</v>
      </c>
      <c r="F52" s="173">
        <f t="shared" ref="F52:F57" si="10">C52-G52</f>
        <v>102.40397553</v>
      </c>
      <c r="G52" s="173">
        <f>VLOOKUP($A$11,'[1]6.2. отчет'!$D:$GJ,179,0)</f>
        <v>0</v>
      </c>
      <c r="H52" s="173">
        <f>VLOOKUP($A$11,'[1]6.2. отчет'!$D:$AGO,190,0)</f>
        <v>102.40397553</v>
      </c>
      <c r="I52" s="173">
        <f>VLOOKUP($A$11,'[1]6.2. отчет'!$D:$AGO,245,0)</f>
        <v>102.40397553</v>
      </c>
      <c r="J52" s="173">
        <f>VLOOKUP($A$11,'[1]6.2. отчет'!$D:$AGO,256,0)</f>
        <v>102.40397553</v>
      </c>
      <c r="K52" s="173">
        <f>VLOOKUP($A$11,'[1]6.2. отчет'!$D:$AGO,311,0)</f>
        <v>0</v>
      </c>
    </row>
    <row r="53" spans="1:11" x14ac:dyDescent="0.25">
      <c r="A53" s="53" t="s">
        <v>52</v>
      </c>
      <c r="B53" s="54" t="s">
        <v>46</v>
      </c>
      <c r="C53" s="173">
        <f>VLOOKUP($A$11,'[1]6.2. отчет'!$D:$FX,168,0)</f>
        <v>0</v>
      </c>
      <c r="D53" s="225">
        <v>0</v>
      </c>
      <c r="E53" s="173">
        <f t="shared" si="9"/>
        <v>0</v>
      </c>
      <c r="F53" s="173">
        <f t="shared" si="10"/>
        <v>0</v>
      </c>
      <c r="G53" s="173">
        <f>VLOOKUP($A$11,'[1]6.2. отчет'!$D:$GJ,180,0)</f>
        <v>0</v>
      </c>
      <c r="H53" s="173">
        <f>VLOOKUP($A$11,'[1]6.2. отчет'!$D:$AGO,191,0)</f>
        <v>0</v>
      </c>
      <c r="I53" s="173">
        <f>VLOOKUP($A$11,'[1]6.2. отчет'!$D:$AGO,246,0)</f>
        <v>0</v>
      </c>
      <c r="J53" s="173">
        <f>VLOOKUP($A$11,'[1]6.2. отчет'!$D:$AGO,257,0)</f>
        <v>0</v>
      </c>
      <c r="K53" s="173">
        <f>VLOOKUP($A$11,'[1]6.2. отчет'!$D:$AGO,312,0)</f>
        <v>0</v>
      </c>
    </row>
    <row r="54" spans="1:11" x14ac:dyDescent="0.25">
      <c r="A54" s="53" t="s">
        <v>51</v>
      </c>
      <c r="B54" s="67" t="s">
        <v>45</v>
      </c>
      <c r="C54" s="173">
        <f>VLOOKUP($A$11,'[1]6.2. отчет'!$D:$FX,169,0)</f>
        <v>4.133</v>
      </c>
      <c r="D54" s="225">
        <f>VLOOKUP($A$11,'[1]6.2. отчет'!$D:$OZ,410,0)</f>
        <v>4.133</v>
      </c>
      <c r="E54" s="173">
        <f t="shared" si="9"/>
        <v>4.133</v>
      </c>
      <c r="F54" s="173">
        <f t="shared" si="10"/>
        <v>4.133</v>
      </c>
      <c r="G54" s="173">
        <f>VLOOKUP($A$11,'[1]6.2. отчет'!$D:$GJ,181,0)</f>
        <v>0</v>
      </c>
      <c r="H54" s="173">
        <f>VLOOKUP($A$11,'[1]6.2. отчет'!$D:$AGO,192,0)</f>
        <v>4.133</v>
      </c>
      <c r="I54" s="173">
        <f>VLOOKUP($A$11,'[1]6.2. отчет'!$D:$AGO,247,0)</f>
        <v>4.133</v>
      </c>
      <c r="J54" s="173">
        <f>VLOOKUP($A$11,'[1]6.2. отчет'!$D:$AGO,258,0)</f>
        <v>4.133</v>
      </c>
      <c r="K54" s="173">
        <f>VLOOKUP($A$11,'[1]6.2. отчет'!$D:$AGO,313,0)</f>
        <v>0</v>
      </c>
    </row>
    <row r="55" spans="1:11" x14ac:dyDescent="0.25">
      <c r="A55" s="53" t="s">
        <v>50</v>
      </c>
      <c r="B55" s="67" t="s">
        <v>44</v>
      </c>
      <c r="C55" s="173">
        <f>VLOOKUP($A$11,'[1]6.2. отчет'!$D:$FX,170,0)</f>
        <v>0</v>
      </c>
      <c r="D55" s="225">
        <f>VLOOKUP($A$11,'[1]6.2. отчет'!$D:$OZ,411,0)</f>
        <v>0</v>
      </c>
      <c r="E55" s="173">
        <f t="shared" si="9"/>
        <v>0</v>
      </c>
      <c r="F55" s="173">
        <f t="shared" si="10"/>
        <v>0</v>
      </c>
      <c r="G55" s="173">
        <f>VLOOKUP($A$11,'[1]6.2. отчет'!$D:$GJ,182,0)</f>
        <v>0</v>
      </c>
      <c r="H55" s="173">
        <f>VLOOKUP($A$11,'[1]6.2. отчет'!$D:$AGO,193,0)</f>
        <v>0</v>
      </c>
      <c r="I55" s="173">
        <f>VLOOKUP($A$11,'[1]6.2. отчет'!$D:$AGO,248,0)</f>
        <v>0</v>
      </c>
      <c r="J55" s="173">
        <f>VLOOKUP($A$11,'[1]6.2. отчет'!$D:$AGO,259,0)</f>
        <v>0</v>
      </c>
      <c r="K55" s="173">
        <f>VLOOKUP($A$11,'[1]6.2. отчет'!$D:$AGO,314,0)</f>
        <v>0</v>
      </c>
    </row>
    <row r="56" spans="1:11" x14ac:dyDescent="0.25">
      <c r="A56" s="53" t="s">
        <v>49</v>
      </c>
      <c r="B56" s="67" t="s">
        <v>43</v>
      </c>
      <c r="C56" s="173">
        <f>VLOOKUP($A$11,'[1]6.2. отчет'!$D:$FX,171,0)</f>
        <v>87.858000000000004</v>
      </c>
      <c r="D56" s="225">
        <f>VLOOKUP($A$11,'[1]6.2. отчет'!$D:$OZ,409,0)</f>
        <v>87.858000000000004</v>
      </c>
      <c r="E56" s="173">
        <f t="shared" si="9"/>
        <v>87.858000000000004</v>
      </c>
      <c r="F56" s="173">
        <f t="shared" si="10"/>
        <v>87.858000000000004</v>
      </c>
      <c r="G56" s="173">
        <f>VLOOKUP($A$11,'[1]6.2. отчет'!$D:$GJ,183,0)</f>
        <v>0</v>
      </c>
      <c r="H56" s="173">
        <f>VLOOKUP($A$11,'[1]6.2. отчет'!$D:$AGO,194,0)</f>
        <v>87.858000000000004</v>
      </c>
      <c r="I56" s="173">
        <f>VLOOKUP($A$11,'[1]6.2. отчет'!$D:$AGO,249,0)</f>
        <v>87.858000000000004</v>
      </c>
      <c r="J56" s="173">
        <f>VLOOKUP($A$11,'[1]6.2. отчет'!$D:$AGO,260,0)</f>
        <v>87.858000000000004</v>
      </c>
      <c r="K56" s="173">
        <f>VLOOKUP($A$11,'[1]6.2. отчет'!$D:$AGO,315,0)</f>
        <v>0</v>
      </c>
    </row>
    <row r="57" spans="1:11" x14ac:dyDescent="0.25">
      <c r="A57" s="53" t="s">
        <v>48</v>
      </c>
      <c r="B57" s="54" t="s">
        <v>450</v>
      </c>
      <c r="C57" s="173">
        <f>VLOOKUP($A$11,'[1]6.2. отчет'!$D:$FX,177,0)</f>
        <v>0</v>
      </c>
      <c r="D57" s="225">
        <f>VLOOKUP($A$11,'[1]6.2. отчет'!$D:$OZ,412,0)</f>
        <v>0</v>
      </c>
      <c r="E57" s="173">
        <f t="shared" si="9"/>
        <v>0</v>
      </c>
      <c r="F57" s="173">
        <f t="shared" si="10"/>
        <v>0</v>
      </c>
      <c r="G57" s="173">
        <f>VLOOKUP($A$11,'[1]6.2. отчет'!$D:$GJ,189,0)</f>
        <v>0</v>
      </c>
      <c r="H57" s="173">
        <f>VLOOKUP($A$11,'[1]6.2. отчет'!$D:$AGO,200,0)</f>
        <v>0</v>
      </c>
      <c r="I57" s="173">
        <f>VLOOKUP($A$11,'[1]6.2. отчет'!$D:$AGO,255,0)</f>
        <v>0</v>
      </c>
      <c r="J57" s="173">
        <f>VLOOKUP($A$11,'[1]6.2. отчет'!$D:$AGO,266,0)</f>
        <v>0</v>
      </c>
      <c r="K57" s="173">
        <f>VLOOKUP($A$11,'[1]6.2. отчет'!$D:$AGO,321,0)</f>
        <v>0</v>
      </c>
    </row>
    <row r="58" spans="1:11" s="52" customFormat="1" ht="31.5" x14ac:dyDescent="0.25">
      <c r="A58" s="50" t="s">
        <v>12</v>
      </c>
      <c r="B58" s="57" t="s">
        <v>141</v>
      </c>
      <c r="C58" s="173"/>
      <c r="D58" s="173"/>
      <c r="E58" s="173"/>
      <c r="F58" s="173"/>
      <c r="G58" s="173"/>
      <c r="H58" s="173"/>
      <c r="I58" s="55"/>
      <c r="J58" s="173"/>
      <c r="K58" s="55"/>
    </row>
    <row r="59" spans="1:11" x14ac:dyDescent="0.25">
      <c r="A59" s="50" t="s">
        <v>10</v>
      </c>
      <c r="B59" s="51" t="s">
        <v>47</v>
      </c>
      <c r="C59" s="173"/>
      <c r="D59" s="173"/>
      <c r="E59" s="173"/>
      <c r="F59" s="173"/>
      <c r="G59" s="173"/>
      <c r="H59" s="173"/>
      <c r="I59" s="55"/>
      <c r="J59" s="173"/>
      <c r="K59" s="55"/>
    </row>
    <row r="60" spans="1:11" x14ac:dyDescent="0.25">
      <c r="A60" s="53" t="s">
        <v>135</v>
      </c>
      <c r="B60" s="68" t="s">
        <v>67</v>
      </c>
      <c r="C60" s="173">
        <f>VLOOKUP($A$11,'[1]6.2. отчет'!$D:$AGO,326,0)</f>
        <v>0</v>
      </c>
      <c r="D60" s="173">
        <v>0</v>
      </c>
      <c r="E60" s="173">
        <f t="shared" ref="E60:E64" si="11">F60</f>
        <v>0</v>
      </c>
      <c r="F60" s="173">
        <f t="shared" ref="F60:F64" si="12">C60</f>
        <v>0</v>
      </c>
      <c r="G60" s="173">
        <f>VLOOKUP($A$11,'[1]6.2. отчет'!$D:$AGO,333,0)</f>
        <v>0</v>
      </c>
      <c r="H60" s="173">
        <f>VLOOKUP($A$11,'[1]6.2. отчет'!$D:$AGO,341,0)</f>
        <v>0</v>
      </c>
      <c r="I60" s="173">
        <f>VLOOKUP($A$11,'[1]6.2. отчет'!$D:$AGO,366,0)</f>
        <v>0</v>
      </c>
      <c r="J60" s="173">
        <f>VLOOKUP($A$11,'[1]6.2. отчет'!$D:$AGO,371,0)</f>
        <v>0</v>
      </c>
      <c r="K60" s="173">
        <f>VLOOKUP($A$11,'[1]6.2. отчет'!$D:$AGO,396,0)</f>
        <v>0</v>
      </c>
    </row>
    <row r="61" spans="1:11" x14ac:dyDescent="0.25">
      <c r="A61" s="53" t="s">
        <v>136</v>
      </c>
      <c r="B61" s="68" t="s">
        <v>65</v>
      </c>
      <c r="C61" s="173">
        <f>VLOOKUP($A$11,'[1]6.2. отчет'!$D:$AGO,327,0)</f>
        <v>0</v>
      </c>
      <c r="D61" s="173">
        <v>0</v>
      </c>
      <c r="E61" s="173">
        <f t="shared" si="11"/>
        <v>0</v>
      </c>
      <c r="F61" s="173">
        <f t="shared" si="12"/>
        <v>0</v>
      </c>
      <c r="G61" s="173">
        <f>VLOOKUP($A$11,'[1]6.2. отчет'!$D:$AGO,334,0)</f>
        <v>0</v>
      </c>
      <c r="H61" s="173">
        <f>VLOOKUP($A$11,'[1]6.2. отчет'!$D:$AGO,338,0)</f>
        <v>0</v>
      </c>
      <c r="I61" s="173">
        <f>VLOOKUP($A$11,'[1]6.2. отчет'!$D:$AGO,363,0)</f>
        <v>0</v>
      </c>
      <c r="J61" s="173">
        <f>VLOOKUP($A$11,'[1]6.2. отчет'!$D:$AGO,368,0)</f>
        <v>0</v>
      </c>
      <c r="K61" s="173">
        <f>VLOOKUP($A$11,'[1]6.2. отчет'!$D:$AGO,393,0)</f>
        <v>0</v>
      </c>
    </row>
    <row r="62" spans="1:11" x14ac:dyDescent="0.25">
      <c r="A62" s="53" t="s">
        <v>137</v>
      </c>
      <c r="B62" s="68" t="s">
        <v>63</v>
      </c>
      <c r="C62" s="173">
        <f>VLOOKUP($A$11,'[1]6.2. отчет'!$D:$AGO,328,0)</f>
        <v>0</v>
      </c>
      <c r="D62" s="173">
        <v>0</v>
      </c>
      <c r="E62" s="173">
        <f t="shared" si="11"/>
        <v>0</v>
      </c>
      <c r="F62" s="173">
        <f t="shared" si="12"/>
        <v>0</v>
      </c>
      <c r="G62" s="173">
        <f>VLOOKUP($A$11,'[1]6.2. отчет'!$D:$AGO,335,0)</f>
        <v>0</v>
      </c>
      <c r="H62" s="173">
        <f>VLOOKUP($A$11,'[1]6.2. отчет'!$D:$AGO,339,0)</f>
        <v>0</v>
      </c>
      <c r="I62" s="173">
        <f>VLOOKUP($A$11,'[1]6.2. отчет'!$D:$AGO,364,0)</f>
        <v>0</v>
      </c>
      <c r="J62" s="173">
        <f>VLOOKUP($A$11,'[1]6.2. отчет'!$D:$AGO,369,0)</f>
        <v>0</v>
      </c>
      <c r="K62" s="173">
        <f>VLOOKUP($A$11,'[1]6.2. отчет'!$D:$AGO,394,0)</f>
        <v>0</v>
      </c>
    </row>
    <row r="63" spans="1:11" x14ac:dyDescent="0.25">
      <c r="A63" s="53" t="s">
        <v>138</v>
      </c>
      <c r="B63" s="68" t="s">
        <v>140</v>
      </c>
      <c r="C63" s="173">
        <f>VLOOKUP($A$11,'[1]6.2. отчет'!$D:$AGO,329,0)</f>
        <v>0</v>
      </c>
      <c r="D63" s="173">
        <v>0</v>
      </c>
      <c r="E63" s="173">
        <f t="shared" si="11"/>
        <v>0</v>
      </c>
      <c r="F63" s="173">
        <f t="shared" si="12"/>
        <v>0</v>
      </c>
      <c r="G63" s="173">
        <f>VLOOKUP($A$11,'[1]6.2. отчет'!$D:$AGO,336,0)</f>
        <v>0</v>
      </c>
      <c r="H63" s="173">
        <f>VLOOKUP($A$11,'[1]6.2. отчет'!$D:$AGO,340,0)</f>
        <v>0</v>
      </c>
      <c r="I63" s="173">
        <f>VLOOKUP($A$11,'[1]6.2. отчет'!$D:$AGO,365,0)</f>
        <v>0</v>
      </c>
      <c r="J63" s="173">
        <f>VLOOKUP($A$11,'[1]6.2. отчет'!$D:$AGO,370,0)</f>
        <v>0</v>
      </c>
      <c r="K63" s="173">
        <f>VLOOKUP($A$11,'[1]6.2. отчет'!$D:$AGO,395,0)</f>
        <v>0</v>
      </c>
    </row>
    <row r="64" spans="1:11" ht="18.75" x14ac:dyDescent="0.25">
      <c r="A64" s="53" t="s">
        <v>139</v>
      </c>
      <c r="B64" s="67" t="s">
        <v>42</v>
      </c>
      <c r="C64" s="173">
        <f>VLOOKUP($A$11,'[1]6.2. отчет'!$D:$AGO,330,0)</f>
        <v>0</v>
      </c>
      <c r="D64" s="173">
        <v>0</v>
      </c>
      <c r="E64" s="173">
        <f t="shared" si="11"/>
        <v>0</v>
      </c>
      <c r="F64" s="173">
        <f t="shared" si="12"/>
        <v>0</v>
      </c>
      <c r="G64" s="173">
        <f>VLOOKUP($A$11,'[1]6.2. отчет'!$D:$AGO,337,0)</f>
        <v>0</v>
      </c>
      <c r="H64" s="173">
        <f>VLOOKUP($A$11,'[1]6.2. отчет'!$D:$AGO,342,0)</f>
        <v>0</v>
      </c>
      <c r="I64" s="173">
        <f>VLOOKUP($A$11,'[1]6.2. отчет'!$D:$AGO,367,0)</f>
        <v>0</v>
      </c>
      <c r="J64" s="173">
        <f>VLOOKUP($A$11,'[1]6.2. отчет'!$D:$AGO,372,0)</f>
        <v>0</v>
      </c>
      <c r="K64" s="173">
        <f>VLOOKUP($A$11,'[1]6.2. отчет'!$D:$AGO,396,0)</f>
        <v>0</v>
      </c>
    </row>
    <row r="66" spans="2:11" ht="50.25" customHeight="1" x14ac:dyDescent="0.25">
      <c r="B66" s="325"/>
      <c r="C66" s="325"/>
      <c r="D66" s="325"/>
      <c r="E66" s="325"/>
      <c r="F66" s="325"/>
      <c r="G66" s="325"/>
      <c r="H66" s="325"/>
      <c r="I66" s="325"/>
      <c r="J66" s="325"/>
      <c r="K66" s="325"/>
    </row>
    <row r="68" spans="2:11" ht="36.75" customHeight="1" x14ac:dyDescent="0.25">
      <c r="B68" s="326"/>
      <c r="C68" s="326"/>
      <c r="D68" s="326"/>
      <c r="E68" s="326"/>
      <c r="F68" s="326"/>
      <c r="G68" s="326"/>
      <c r="H68" s="326"/>
      <c r="I68" s="326"/>
      <c r="J68" s="326"/>
      <c r="K68" s="326"/>
    </row>
    <row r="69" spans="2:11" x14ac:dyDescent="0.25">
      <c r="B69" s="58"/>
      <c r="C69" s="58"/>
      <c r="D69" s="59"/>
      <c r="E69" s="59"/>
      <c r="F69" s="59"/>
    </row>
    <row r="70" spans="2:11" ht="51" customHeight="1" x14ac:dyDescent="0.25">
      <c r="B70" s="326"/>
      <c r="C70" s="326"/>
      <c r="D70" s="326"/>
      <c r="E70" s="326"/>
      <c r="F70" s="326"/>
      <c r="G70" s="326"/>
      <c r="H70" s="326"/>
      <c r="I70" s="326"/>
      <c r="J70" s="326"/>
      <c r="K70" s="326"/>
    </row>
    <row r="71" spans="2:11" ht="32.25" customHeight="1" x14ac:dyDescent="0.25">
      <c r="B71" s="325"/>
      <c r="C71" s="325"/>
      <c r="D71" s="325"/>
      <c r="E71" s="325"/>
      <c r="F71" s="325"/>
      <c r="G71" s="325"/>
      <c r="H71" s="325"/>
      <c r="I71" s="325"/>
      <c r="J71" s="325"/>
      <c r="K71" s="325"/>
    </row>
    <row r="72" spans="2:11" ht="51.75" customHeight="1" x14ac:dyDescent="0.25">
      <c r="B72" s="326"/>
      <c r="C72" s="326"/>
      <c r="D72" s="326"/>
      <c r="E72" s="326"/>
      <c r="F72" s="326"/>
      <c r="G72" s="326"/>
      <c r="H72" s="326"/>
      <c r="I72" s="326"/>
      <c r="J72" s="326"/>
      <c r="K72" s="326"/>
    </row>
    <row r="73" spans="2:11" ht="21.75" customHeight="1" x14ac:dyDescent="0.25">
      <c r="B73" s="327"/>
      <c r="C73" s="327"/>
      <c r="D73" s="327"/>
      <c r="E73" s="327"/>
      <c r="F73" s="327"/>
      <c r="G73" s="327"/>
      <c r="H73" s="327"/>
      <c r="I73" s="327"/>
      <c r="J73" s="327"/>
      <c r="K73" s="327"/>
    </row>
    <row r="74" spans="2:11" ht="23.25" customHeight="1" x14ac:dyDescent="0.25">
      <c r="B74" s="60"/>
      <c r="C74" s="60"/>
      <c r="D74" s="59"/>
      <c r="E74" s="59"/>
      <c r="F74" s="59"/>
    </row>
    <row r="75" spans="2:11" ht="18.75" customHeight="1" x14ac:dyDescent="0.25">
      <c r="B75" s="324"/>
      <c r="C75" s="324"/>
      <c r="D75" s="324"/>
      <c r="E75" s="324"/>
      <c r="F75" s="324"/>
      <c r="G75" s="324"/>
      <c r="H75" s="324"/>
      <c r="I75" s="324"/>
      <c r="J75" s="324"/>
      <c r="K75" s="324"/>
    </row>
  </sheetData>
  <mergeCells count="29">
    <mergeCell ref="A3:K3"/>
    <mergeCell ref="A4:K4"/>
    <mergeCell ref="A6:K6"/>
    <mergeCell ref="A8:K8"/>
    <mergeCell ref="A9:K9"/>
    <mergeCell ref="H20:K20"/>
    <mergeCell ref="B75:K75"/>
    <mergeCell ref="B66:K66"/>
    <mergeCell ref="B68:K68"/>
    <mergeCell ref="B70:K70"/>
    <mergeCell ref="B71:K71"/>
    <mergeCell ref="B72:K72"/>
    <mergeCell ref="B73:K73"/>
    <mergeCell ref="H21:I21"/>
    <mergeCell ref="J21:K21"/>
    <mergeCell ref="A20:A22"/>
    <mergeCell ref="B20:B22"/>
    <mergeCell ref="C20:D21"/>
    <mergeCell ref="E20:F21"/>
    <mergeCell ref="G20:G22"/>
    <mergeCell ref="A19:K19"/>
    <mergeCell ref="A14:K14"/>
    <mergeCell ref="G7:K7"/>
    <mergeCell ref="G5:K5"/>
    <mergeCell ref="G10:K10"/>
    <mergeCell ref="A11:K11"/>
    <mergeCell ref="G13:K13"/>
    <mergeCell ref="A12:K12"/>
    <mergeCell ref="A15:K15"/>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A19" zoomScale="70" zoomScaleSheetLayoutView="70" workbookViewId="0">
      <selection activeCell="K38" sqref="K38"/>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39" width="9.7109375" style="62" customWidth="1"/>
    <col min="40" max="40" width="12.5703125" style="62" customWidth="1"/>
    <col min="41" max="41" width="13.4257812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62.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51"/>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s="78" customFormat="1" ht="18.75" x14ac:dyDescent="0.3">
      <c r="A6" s="13"/>
      <c r="B6" s="13"/>
      <c r="D6" s="291"/>
      <c r="E6" s="291"/>
      <c r="F6" s="291"/>
      <c r="G6" s="291"/>
      <c r="H6" s="291"/>
      <c r="I6" s="291"/>
      <c r="L6" s="14"/>
    </row>
    <row r="7" spans="1:48" s="78" customFormat="1" ht="15.75" x14ac:dyDescent="0.25">
      <c r="D7" s="12"/>
      <c r="E7" s="12"/>
      <c r="F7" s="12"/>
      <c r="G7" s="12"/>
      <c r="H7" s="12"/>
      <c r="I7" s="12"/>
      <c r="J7" s="12"/>
      <c r="T7" s="241" t="str">
        <f>'1. паспорт местоположение'!$A$5</f>
        <v>Год раскрытия информации: 2025 год</v>
      </c>
      <c r="U7" s="241"/>
      <c r="V7" s="241"/>
      <c r="W7" s="241"/>
      <c r="X7" s="241"/>
      <c r="Y7" s="241"/>
      <c r="Z7" s="241"/>
      <c r="AA7" s="241"/>
      <c r="AB7" s="241"/>
      <c r="AC7" s="241"/>
      <c r="AD7" s="241"/>
    </row>
    <row r="8" spans="1:48" s="78" customFormat="1" ht="18.75" x14ac:dyDescent="0.3">
      <c r="H8" s="14"/>
      <c r="T8" s="280"/>
      <c r="U8" s="280"/>
      <c r="V8" s="280"/>
      <c r="W8" s="280"/>
      <c r="X8" s="280"/>
      <c r="Y8" s="280"/>
      <c r="Z8" s="280"/>
      <c r="AA8" s="280"/>
      <c r="AB8" s="280"/>
      <c r="AC8" s="280"/>
      <c r="AD8" s="280"/>
    </row>
    <row r="9" spans="1:48" s="78" customFormat="1" ht="18.75" x14ac:dyDescent="0.2">
      <c r="D9" s="17"/>
      <c r="E9" s="17"/>
      <c r="F9" s="17"/>
      <c r="G9" s="17"/>
      <c r="H9" s="17"/>
      <c r="I9" s="17"/>
      <c r="J9" s="17"/>
      <c r="K9" s="17"/>
      <c r="L9" s="17"/>
      <c r="M9" s="17"/>
      <c r="N9" s="17"/>
      <c r="O9" s="17"/>
      <c r="P9" s="17"/>
      <c r="Q9" s="17"/>
      <c r="R9" s="17"/>
      <c r="S9" s="17"/>
      <c r="T9" s="245" t="s">
        <v>5</v>
      </c>
      <c r="U9" s="245"/>
      <c r="V9" s="245"/>
      <c r="W9" s="245"/>
      <c r="X9" s="245"/>
      <c r="Y9" s="245"/>
      <c r="Z9" s="245"/>
      <c r="AA9" s="245"/>
      <c r="AB9" s="245"/>
      <c r="AC9" s="245"/>
      <c r="AD9" s="245"/>
    </row>
    <row r="10" spans="1:48" s="78" customFormat="1" ht="18.75" x14ac:dyDescent="0.2">
      <c r="D10" s="83"/>
      <c r="E10" s="83"/>
      <c r="F10" s="83"/>
      <c r="G10" s="83"/>
      <c r="H10" s="83"/>
      <c r="I10" s="17"/>
      <c r="J10" s="17"/>
      <c r="K10" s="17"/>
      <c r="L10" s="17"/>
      <c r="M10" s="17"/>
      <c r="N10" s="17"/>
      <c r="O10" s="17"/>
      <c r="P10" s="17"/>
      <c r="Q10" s="17"/>
      <c r="R10" s="17"/>
      <c r="S10" s="17"/>
      <c r="T10" s="245"/>
      <c r="U10" s="245"/>
      <c r="V10" s="245"/>
      <c r="W10" s="245"/>
      <c r="X10" s="245"/>
      <c r="Y10" s="245"/>
      <c r="Z10" s="245"/>
      <c r="AA10" s="245"/>
      <c r="AB10" s="245"/>
      <c r="AC10" s="245"/>
      <c r="AD10" s="245"/>
    </row>
    <row r="11" spans="1:48" s="78" customFormat="1" ht="18.75" x14ac:dyDescent="0.2">
      <c r="D11" s="18"/>
      <c r="E11" s="18"/>
      <c r="F11" s="18"/>
      <c r="G11" s="18"/>
      <c r="H11" s="18"/>
      <c r="I11" s="17"/>
      <c r="J11" s="17"/>
      <c r="K11" s="17"/>
      <c r="L11" s="17"/>
      <c r="M11" s="17"/>
      <c r="N11" s="17"/>
      <c r="O11" s="17"/>
      <c r="P11" s="17"/>
      <c r="Q11" s="17"/>
      <c r="R11" s="17"/>
      <c r="S11" s="17"/>
      <c r="T11" s="246" t="s">
        <v>264</v>
      </c>
      <c r="U11" s="246"/>
      <c r="V11" s="246"/>
      <c r="W11" s="246"/>
      <c r="X11" s="246"/>
      <c r="Y11" s="246"/>
      <c r="Z11" s="246"/>
      <c r="AA11" s="246"/>
      <c r="AB11" s="246"/>
      <c r="AC11" s="246"/>
      <c r="AD11" s="246"/>
    </row>
    <row r="12" spans="1:48" s="78" customFormat="1" ht="18.75" x14ac:dyDescent="0.2">
      <c r="D12" s="15"/>
      <c r="E12" s="15"/>
      <c r="F12" s="15"/>
      <c r="G12" s="15"/>
      <c r="H12" s="15"/>
      <c r="I12" s="17"/>
      <c r="J12" s="17"/>
      <c r="K12" s="17"/>
      <c r="L12" s="17"/>
      <c r="M12" s="17"/>
      <c r="N12" s="17"/>
      <c r="O12" s="17"/>
      <c r="P12" s="17"/>
      <c r="Q12" s="17"/>
      <c r="R12" s="17"/>
      <c r="S12" s="17"/>
      <c r="T12" s="251" t="s">
        <v>4</v>
      </c>
      <c r="U12" s="251"/>
      <c r="V12" s="251"/>
      <c r="W12" s="251"/>
      <c r="X12" s="251"/>
      <c r="Y12" s="251"/>
      <c r="Z12" s="251"/>
      <c r="AA12" s="251"/>
      <c r="AB12" s="251"/>
      <c r="AC12" s="251"/>
      <c r="AD12" s="251"/>
    </row>
    <row r="13" spans="1:48" s="78" customFormat="1" ht="18.75" x14ac:dyDescent="0.2">
      <c r="D13" s="83"/>
      <c r="E13" s="83"/>
      <c r="F13" s="83"/>
      <c r="G13" s="83"/>
      <c r="H13" s="83"/>
      <c r="I13" s="17"/>
      <c r="J13" s="17"/>
      <c r="K13" s="17"/>
      <c r="L13" s="17"/>
      <c r="M13" s="17"/>
      <c r="N13" s="17"/>
      <c r="O13" s="17"/>
      <c r="P13" s="17"/>
      <c r="Q13" s="17"/>
      <c r="R13" s="17"/>
      <c r="S13" s="17"/>
      <c r="T13" s="245"/>
      <c r="U13" s="245"/>
      <c r="V13" s="245"/>
      <c r="W13" s="245"/>
      <c r="X13" s="245"/>
      <c r="Y13" s="245"/>
      <c r="Z13" s="245"/>
      <c r="AA13" s="245"/>
      <c r="AB13" s="245"/>
      <c r="AC13" s="245"/>
      <c r="AD13" s="245"/>
    </row>
    <row r="14" spans="1:48" s="78" customFormat="1" ht="18.75" x14ac:dyDescent="0.2">
      <c r="D14" s="18"/>
      <c r="E14" s="18"/>
      <c r="F14" s="18"/>
      <c r="G14" s="18"/>
      <c r="H14" s="18"/>
      <c r="I14" s="17"/>
      <c r="J14" s="17"/>
      <c r="K14" s="17"/>
      <c r="L14" s="17"/>
      <c r="M14" s="17"/>
      <c r="N14" s="17"/>
      <c r="O14" s="17"/>
      <c r="P14" s="17"/>
      <c r="Q14" s="17"/>
      <c r="R14" s="17"/>
      <c r="S14" s="17"/>
      <c r="T14" s="246" t="str">
        <f>'1. паспорт местоположение'!$A$12</f>
        <v>L_Che376</v>
      </c>
      <c r="U14" s="246"/>
      <c r="V14" s="246"/>
      <c r="W14" s="246"/>
      <c r="X14" s="246"/>
      <c r="Y14" s="246"/>
      <c r="Z14" s="246"/>
      <c r="AA14" s="246"/>
      <c r="AB14" s="246"/>
      <c r="AC14" s="246"/>
      <c r="AD14" s="246"/>
    </row>
    <row r="15" spans="1:48" s="78" customFormat="1" ht="18.75" x14ac:dyDescent="0.2">
      <c r="D15" s="15"/>
      <c r="E15" s="15"/>
      <c r="F15" s="15"/>
      <c r="G15" s="15"/>
      <c r="H15" s="15"/>
      <c r="I15" s="17"/>
      <c r="J15" s="17"/>
      <c r="K15" s="17"/>
      <c r="L15" s="17"/>
      <c r="M15" s="17"/>
      <c r="N15" s="17"/>
      <c r="O15" s="17"/>
      <c r="P15" s="17"/>
      <c r="Q15" s="17"/>
      <c r="R15" s="17"/>
      <c r="S15" s="17"/>
      <c r="T15" s="251" t="s">
        <v>3</v>
      </c>
      <c r="U15" s="251"/>
      <c r="V15" s="251"/>
      <c r="W15" s="251"/>
      <c r="X15" s="251"/>
      <c r="Y15" s="251"/>
      <c r="Z15" s="251"/>
      <c r="AA15" s="251"/>
      <c r="AB15" s="251"/>
      <c r="AC15" s="251"/>
      <c r="AD15" s="251"/>
    </row>
    <row r="16" spans="1:48" s="81" customFormat="1" ht="15.75" customHeight="1" x14ac:dyDescent="0.2">
      <c r="D16" s="1"/>
      <c r="E16" s="1"/>
      <c r="F16" s="1"/>
      <c r="G16" s="1"/>
      <c r="H16" s="1"/>
      <c r="I16" s="1"/>
      <c r="J16" s="1"/>
      <c r="K16" s="1"/>
      <c r="L16" s="1"/>
      <c r="M16" s="1"/>
      <c r="N16" s="1"/>
      <c r="O16" s="1"/>
      <c r="P16" s="1"/>
      <c r="Q16" s="1"/>
      <c r="R16" s="1"/>
      <c r="S16" s="1"/>
      <c r="T16" s="279"/>
      <c r="U16" s="279"/>
      <c r="V16" s="279"/>
      <c r="W16" s="279"/>
      <c r="X16" s="279"/>
      <c r="Y16" s="279"/>
      <c r="Z16" s="279"/>
      <c r="AA16" s="279"/>
      <c r="AB16" s="279"/>
      <c r="AC16" s="279"/>
      <c r="AD16" s="279"/>
    </row>
    <row r="17" spans="1:48" s="25" customFormat="1" ht="78.75" customHeight="1" x14ac:dyDescent="0.2">
      <c r="D17" s="18"/>
      <c r="E17" s="18"/>
      <c r="F17" s="18"/>
      <c r="G17" s="18"/>
      <c r="H17" s="18"/>
      <c r="I17" s="18"/>
      <c r="J17" s="18"/>
      <c r="K17" s="18"/>
      <c r="L17" s="18"/>
      <c r="M17" s="18"/>
      <c r="N17" s="18"/>
      <c r="O17"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P17" s="252"/>
      <c r="Q17" s="252"/>
      <c r="R17" s="252"/>
      <c r="S17" s="252"/>
      <c r="T17" s="252"/>
      <c r="U17" s="252"/>
      <c r="V17" s="252"/>
      <c r="W17" s="252"/>
      <c r="X17" s="252"/>
      <c r="Y17" s="252"/>
      <c r="Z17" s="252"/>
      <c r="AA17" s="252"/>
      <c r="AB17" s="252"/>
      <c r="AC17" s="252"/>
      <c r="AD17" s="252"/>
      <c r="AE17" s="252"/>
      <c r="AF17" s="252"/>
      <c r="AG17" s="252"/>
      <c r="AH17" s="252"/>
      <c r="AI17" s="252"/>
      <c r="AJ17" s="252"/>
      <c r="AK17" s="252"/>
    </row>
    <row r="18" spans="1:48" s="25" customFormat="1" ht="15" customHeight="1" x14ac:dyDescent="0.2">
      <c r="D18" s="15"/>
      <c r="E18" s="15"/>
      <c r="F18" s="15"/>
      <c r="G18" s="15"/>
      <c r="H18" s="15"/>
      <c r="I18" s="15"/>
      <c r="J18" s="15"/>
      <c r="K18" s="15"/>
      <c r="L18" s="15"/>
      <c r="M18" s="15"/>
      <c r="N18" s="15"/>
      <c r="O18" s="15"/>
      <c r="P18" s="15"/>
      <c r="Q18" s="15"/>
      <c r="R18" s="15"/>
      <c r="S18" s="15"/>
      <c r="T18" s="251" t="s">
        <v>2</v>
      </c>
      <c r="U18" s="251"/>
      <c r="V18" s="251"/>
      <c r="W18" s="251"/>
      <c r="X18" s="251"/>
      <c r="Y18" s="251"/>
      <c r="Z18" s="251"/>
      <c r="AA18" s="251"/>
      <c r="AB18" s="251"/>
      <c r="AC18" s="251"/>
      <c r="AD18" s="251"/>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x14ac:dyDescent="0.25">
      <c r="A20" s="343" t="s">
        <v>390</v>
      </c>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row>
    <row r="21" spans="1:48" ht="69.75" customHeight="1" x14ac:dyDescent="0.25">
      <c r="A21" s="337" t="s">
        <v>391</v>
      </c>
      <c r="B21" s="331" t="s">
        <v>454</v>
      </c>
      <c r="C21" s="337" t="s">
        <v>392</v>
      </c>
      <c r="D21" s="337" t="s">
        <v>393</v>
      </c>
      <c r="E21" s="334" t="s">
        <v>394</v>
      </c>
      <c r="F21" s="335"/>
      <c r="G21" s="335"/>
      <c r="H21" s="335"/>
      <c r="I21" s="335"/>
      <c r="J21" s="335"/>
      <c r="K21" s="335"/>
      <c r="L21" s="336"/>
      <c r="M21" s="337" t="s">
        <v>395</v>
      </c>
      <c r="N21" s="337" t="s">
        <v>396</v>
      </c>
      <c r="O21" s="337" t="s">
        <v>397</v>
      </c>
      <c r="P21" s="341" t="s">
        <v>398</v>
      </c>
      <c r="Q21" s="341" t="s">
        <v>399</v>
      </c>
      <c r="R21" s="341" t="s">
        <v>400</v>
      </c>
      <c r="S21" s="341" t="s">
        <v>401</v>
      </c>
      <c r="T21" s="341"/>
      <c r="U21" s="346" t="s">
        <v>402</v>
      </c>
      <c r="V21" s="346" t="s">
        <v>403</v>
      </c>
      <c r="W21" s="341" t="s">
        <v>404</v>
      </c>
      <c r="X21" s="341" t="s">
        <v>405</v>
      </c>
      <c r="Y21" s="341" t="s">
        <v>406</v>
      </c>
      <c r="Z21" s="340" t="s">
        <v>407</v>
      </c>
      <c r="AA21" s="341" t="s">
        <v>408</v>
      </c>
      <c r="AB21" s="341" t="s">
        <v>409</v>
      </c>
      <c r="AC21" s="341" t="s">
        <v>410</v>
      </c>
      <c r="AD21" s="341" t="s">
        <v>411</v>
      </c>
      <c r="AE21" s="341" t="s">
        <v>412</v>
      </c>
      <c r="AF21" s="341" t="s">
        <v>413</v>
      </c>
      <c r="AG21" s="341"/>
      <c r="AH21" s="341"/>
      <c r="AI21" s="341"/>
      <c r="AJ21" s="341"/>
      <c r="AK21" s="341"/>
      <c r="AL21" s="341" t="s">
        <v>414</v>
      </c>
      <c r="AM21" s="341"/>
      <c r="AN21" s="341"/>
      <c r="AO21" s="341"/>
      <c r="AP21" s="341" t="s">
        <v>415</v>
      </c>
      <c r="AQ21" s="341"/>
      <c r="AR21" s="341" t="s">
        <v>416</v>
      </c>
      <c r="AS21" s="341" t="s">
        <v>417</v>
      </c>
      <c r="AT21" s="341" t="s">
        <v>418</v>
      </c>
      <c r="AU21" s="341" t="s">
        <v>419</v>
      </c>
      <c r="AV21" s="353" t="s">
        <v>420</v>
      </c>
    </row>
    <row r="22" spans="1:48" ht="83.25" customHeight="1" x14ac:dyDescent="0.25">
      <c r="A22" s="338"/>
      <c r="B22" s="332"/>
      <c r="C22" s="338"/>
      <c r="D22" s="338"/>
      <c r="E22" s="347" t="s">
        <v>421</v>
      </c>
      <c r="F22" s="349" t="s">
        <v>46</v>
      </c>
      <c r="G22" s="349" t="s">
        <v>45</v>
      </c>
      <c r="H22" s="349" t="s">
        <v>44</v>
      </c>
      <c r="I22" s="351" t="s">
        <v>422</v>
      </c>
      <c r="J22" s="351" t="s">
        <v>423</v>
      </c>
      <c r="K22" s="351" t="s">
        <v>424</v>
      </c>
      <c r="L22" s="349" t="s">
        <v>383</v>
      </c>
      <c r="M22" s="338"/>
      <c r="N22" s="338"/>
      <c r="O22" s="338"/>
      <c r="P22" s="341"/>
      <c r="Q22" s="341"/>
      <c r="R22" s="341"/>
      <c r="S22" s="344" t="s">
        <v>0</v>
      </c>
      <c r="T22" s="344" t="s">
        <v>425</v>
      </c>
      <c r="U22" s="346"/>
      <c r="V22" s="346"/>
      <c r="W22" s="341"/>
      <c r="X22" s="341"/>
      <c r="Y22" s="341"/>
      <c r="Z22" s="341"/>
      <c r="AA22" s="341"/>
      <c r="AB22" s="341"/>
      <c r="AC22" s="341"/>
      <c r="AD22" s="341"/>
      <c r="AE22" s="341"/>
      <c r="AF22" s="341" t="s">
        <v>426</v>
      </c>
      <c r="AG22" s="341"/>
      <c r="AH22" s="341" t="s">
        <v>427</v>
      </c>
      <c r="AI22" s="341"/>
      <c r="AJ22" s="337" t="s">
        <v>428</v>
      </c>
      <c r="AK22" s="337" t="s">
        <v>429</v>
      </c>
      <c r="AL22" s="337" t="s">
        <v>430</v>
      </c>
      <c r="AM22" s="337" t="s">
        <v>431</v>
      </c>
      <c r="AN22" s="337" t="s">
        <v>432</v>
      </c>
      <c r="AO22" s="337" t="s">
        <v>433</v>
      </c>
      <c r="AP22" s="337" t="s">
        <v>434</v>
      </c>
      <c r="AQ22" s="355" t="s">
        <v>425</v>
      </c>
      <c r="AR22" s="341"/>
      <c r="AS22" s="341"/>
      <c r="AT22" s="341"/>
      <c r="AU22" s="341"/>
      <c r="AV22" s="354"/>
    </row>
    <row r="23" spans="1:48" ht="96.75" customHeight="1" x14ac:dyDescent="0.25">
      <c r="A23" s="339"/>
      <c r="B23" s="333"/>
      <c r="C23" s="339"/>
      <c r="D23" s="339"/>
      <c r="E23" s="348"/>
      <c r="F23" s="350"/>
      <c r="G23" s="350"/>
      <c r="H23" s="350"/>
      <c r="I23" s="352"/>
      <c r="J23" s="352"/>
      <c r="K23" s="352"/>
      <c r="L23" s="350"/>
      <c r="M23" s="339"/>
      <c r="N23" s="339"/>
      <c r="O23" s="339"/>
      <c r="P23" s="341"/>
      <c r="Q23" s="341"/>
      <c r="R23" s="341"/>
      <c r="S23" s="345"/>
      <c r="T23" s="345"/>
      <c r="U23" s="346"/>
      <c r="V23" s="346"/>
      <c r="W23" s="341"/>
      <c r="X23" s="341"/>
      <c r="Y23" s="341"/>
      <c r="Z23" s="341"/>
      <c r="AA23" s="341"/>
      <c r="AB23" s="341"/>
      <c r="AC23" s="341"/>
      <c r="AD23" s="341"/>
      <c r="AE23" s="341"/>
      <c r="AF23" s="86" t="s">
        <v>435</v>
      </c>
      <c r="AG23" s="86" t="s">
        <v>436</v>
      </c>
      <c r="AH23" s="63" t="s">
        <v>0</v>
      </c>
      <c r="AI23" s="63" t="s">
        <v>425</v>
      </c>
      <c r="AJ23" s="339"/>
      <c r="AK23" s="339"/>
      <c r="AL23" s="339"/>
      <c r="AM23" s="339"/>
      <c r="AN23" s="339"/>
      <c r="AO23" s="339"/>
      <c r="AP23" s="339"/>
      <c r="AQ23" s="356"/>
      <c r="AR23" s="341"/>
      <c r="AS23" s="341"/>
      <c r="AT23" s="341"/>
      <c r="AU23" s="341"/>
      <c r="AV23" s="354"/>
    </row>
    <row r="24" spans="1:48"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8" s="190" customFormat="1" ht="76.5" x14ac:dyDescent="0.2">
      <c r="A25" s="199">
        <v>1</v>
      </c>
      <c r="B25" s="357" t="s">
        <v>264</v>
      </c>
      <c r="C25" s="358" t="s">
        <v>594</v>
      </c>
      <c r="D25" s="359">
        <v>45383</v>
      </c>
      <c r="E25" s="360">
        <v>0</v>
      </c>
      <c r="F25" s="360">
        <v>0</v>
      </c>
      <c r="G25" s="360">
        <v>4.133</v>
      </c>
      <c r="H25" s="360">
        <v>0</v>
      </c>
      <c r="I25" s="360">
        <v>87.86</v>
      </c>
      <c r="J25" s="360">
        <v>0</v>
      </c>
      <c r="K25" s="360">
        <v>0</v>
      </c>
      <c r="L25" s="360">
        <v>0</v>
      </c>
      <c r="M25" s="212" t="s">
        <v>460</v>
      </c>
      <c r="N25" s="178" t="s">
        <v>460</v>
      </c>
      <c r="O25" s="364" t="s">
        <v>470</v>
      </c>
      <c r="P25" s="183">
        <v>118117.09</v>
      </c>
      <c r="Q25" s="178" t="s">
        <v>464</v>
      </c>
      <c r="R25" s="183">
        <v>118117.09</v>
      </c>
      <c r="S25" s="212" t="s">
        <v>465</v>
      </c>
      <c r="T25" s="212" t="s">
        <v>465</v>
      </c>
      <c r="U25" s="212">
        <v>2</v>
      </c>
      <c r="V25" s="212">
        <v>2</v>
      </c>
      <c r="W25" s="178" t="s">
        <v>466</v>
      </c>
      <c r="X25" s="180" t="s">
        <v>479</v>
      </c>
      <c r="Y25" s="178" t="s">
        <v>467</v>
      </c>
      <c r="Z25" s="212">
        <v>1</v>
      </c>
      <c r="AA25" s="178" t="s">
        <v>595</v>
      </c>
      <c r="AB25" s="183">
        <v>119949.58474999999</v>
      </c>
      <c r="AC25" s="178" t="s">
        <v>468</v>
      </c>
      <c r="AD25" s="183">
        <v>143939.50169999999</v>
      </c>
      <c r="AE25" s="214">
        <v>0</v>
      </c>
      <c r="AF25" s="178" t="s">
        <v>596</v>
      </c>
      <c r="AG25" s="212" t="s">
        <v>469</v>
      </c>
      <c r="AH25" s="184">
        <v>43159</v>
      </c>
      <c r="AI25" s="184">
        <v>43159</v>
      </c>
      <c r="AJ25" s="184">
        <v>43241</v>
      </c>
      <c r="AK25" s="184">
        <v>43319</v>
      </c>
      <c r="AL25" s="361" t="s">
        <v>476</v>
      </c>
      <c r="AM25" s="362"/>
      <c r="AN25" s="362"/>
      <c r="AO25" s="363"/>
      <c r="AP25" s="200">
        <v>43329</v>
      </c>
      <c r="AQ25" s="200">
        <v>43329</v>
      </c>
      <c r="AR25" s="200">
        <v>43329</v>
      </c>
      <c r="AS25" s="200">
        <v>43329</v>
      </c>
      <c r="AT25" s="200">
        <v>43586</v>
      </c>
      <c r="AU25" s="212"/>
      <c r="AV25" s="215" t="s">
        <v>601</v>
      </c>
    </row>
    <row r="26" spans="1:48" s="208" customFormat="1" ht="88.5" customHeight="1" x14ac:dyDescent="0.2">
      <c r="A26" s="191">
        <v>2</v>
      </c>
      <c r="B26" s="357"/>
      <c r="C26" s="358"/>
      <c r="D26" s="359"/>
      <c r="E26" s="360"/>
      <c r="F26" s="360"/>
      <c r="G26" s="360"/>
      <c r="H26" s="360"/>
      <c r="I26" s="360"/>
      <c r="J26" s="360"/>
      <c r="K26" s="360"/>
      <c r="L26" s="360"/>
      <c r="M26" s="213" t="s">
        <v>597</v>
      </c>
      <c r="N26" s="213" t="s">
        <v>598</v>
      </c>
      <c r="O26" s="365"/>
      <c r="P26" s="201">
        <v>586363.95799999998</v>
      </c>
      <c r="Q26" s="202" t="s">
        <v>455</v>
      </c>
      <c r="R26" s="201">
        <v>586363.95799999998</v>
      </c>
      <c r="S26" s="213" t="s">
        <v>456</v>
      </c>
      <c r="T26" s="213" t="s">
        <v>456</v>
      </c>
      <c r="U26" s="213">
        <v>2</v>
      </c>
      <c r="V26" s="213">
        <v>2</v>
      </c>
      <c r="W26" s="213" t="s">
        <v>471</v>
      </c>
      <c r="X26" s="213" t="s">
        <v>599</v>
      </c>
      <c r="Y26" s="202" t="s">
        <v>472</v>
      </c>
      <c r="Z26" s="203" t="s">
        <v>473</v>
      </c>
      <c r="AA26" s="203" t="s">
        <v>473</v>
      </c>
      <c r="AB26" s="201">
        <v>585191.23</v>
      </c>
      <c r="AC26" s="213" t="s">
        <v>474</v>
      </c>
      <c r="AD26" s="201">
        <v>702229.47600000002</v>
      </c>
      <c r="AE26" s="216">
        <v>5214.8844399999916</v>
      </c>
      <c r="AF26" s="213" t="s">
        <v>600</v>
      </c>
      <c r="AG26" s="204" t="s">
        <v>475</v>
      </c>
      <c r="AH26" s="205">
        <v>43966</v>
      </c>
      <c r="AI26" s="205">
        <v>43966</v>
      </c>
      <c r="AJ26" s="205">
        <v>44076</v>
      </c>
      <c r="AK26" s="205">
        <v>44091</v>
      </c>
      <c r="AL26" s="361" t="s">
        <v>476</v>
      </c>
      <c r="AM26" s="362"/>
      <c r="AN26" s="362"/>
      <c r="AO26" s="363"/>
      <c r="AP26" s="205">
        <v>44110</v>
      </c>
      <c r="AQ26" s="205">
        <v>44110</v>
      </c>
      <c r="AR26" s="205">
        <v>44110</v>
      </c>
      <c r="AS26" s="205">
        <v>44110</v>
      </c>
      <c r="AT26" s="206">
        <v>44681</v>
      </c>
      <c r="AU26" s="207"/>
      <c r="AV26" s="215" t="s">
        <v>627</v>
      </c>
    </row>
    <row r="27" spans="1:48" s="208" customFormat="1" ht="39.6" customHeight="1" x14ac:dyDescent="0.2">
      <c r="A27" s="209">
        <v>3</v>
      </c>
      <c r="B27" s="357"/>
      <c r="C27" s="358"/>
      <c r="D27" s="359"/>
      <c r="E27" s="360"/>
      <c r="F27" s="360"/>
      <c r="G27" s="360"/>
      <c r="H27" s="360"/>
      <c r="I27" s="360"/>
      <c r="J27" s="360"/>
      <c r="K27" s="360"/>
      <c r="L27" s="360"/>
      <c r="M27" s="210" t="s">
        <v>618</v>
      </c>
      <c r="N27" s="210" t="s">
        <v>618</v>
      </c>
      <c r="O27" s="365"/>
      <c r="P27" s="217">
        <v>43737.150016666666</v>
      </c>
      <c r="Q27" s="218" t="s">
        <v>455</v>
      </c>
      <c r="R27" s="219">
        <v>43737.150016666666</v>
      </c>
      <c r="S27" s="220" t="s">
        <v>294</v>
      </c>
      <c r="T27" s="220" t="s">
        <v>294</v>
      </c>
      <c r="U27" s="220">
        <v>1</v>
      </c>
      <c r="V27" s="220">
        <v>1</v>
      </c>
      <c r="W27" s="220" t="s">
        <v>628</v>
      </c>
      <c r="X27" s="219">
        <v>43737.150016666666</v>
      </c>
      <c r="Y27" s="220" t="s">
        <v>628</v>
      </c>
      <c r="Z27" s="220" t="s">
        <v>452</v>
      </c>
      <c r="AA27" s="220" t="s">
        <v>452</v>
      </c>
      <c r="AB27" s="219">
        <v>43737.150016666666</v>
      </c>
      <c r="AC27" s="220" t="s">
        <v>628</v>
      </c>
      <c r="AD27" s="219">
        <v>52484.580020000001</v>
      </c>
      <c r="AE27" s="221">
        <v>1174.9400200000002</v>
      </c>
      <c r="AF27" s="367" t="s">
        <v>629</v>
      </c>
      <c r="AG27" s="368"/>
      <c r="AH27" s="368"/>
      <c r="AI27" s="368"/>
      <c r="AJ27" s="368"/>
      <c r="AK27" s="369"/>
      <c r="AL27" s="212" t="s">
        <v>294</v>
      </c>
      <c r="AM27" s="212" t="s">
        <v>294</v>
      </c>
      <c r="AN27" s="212" t="s">
        <v>294</v>
      </c>
      <c r="AO27" s="212" t="s">
        <v>294</v>
      </c>
      <c r="AP27" s="222">
        <v>44207</v>
      </c>
      <c r="AQ27" s="222">
        <v>44207</v>
      </c>
      <c r="AR27" s="222">
        <v>44207</v>
      </c>
      <c r="AS27" s="222">
        <v>44207</v>
      </c>
      <c r="AT27" s="222">
        <v>44681</v>
      </c>
      <c r="AU27" s="211"/>
      <c r="AV27" s="215" t="s">
        <v>630</v>
      </c>
    </row>
    <row r="28" spans="1:48" s="208" customFormat="1" ht="39.6" customHeight="1" x14ac:dyDescent="0.2">
      <c r="A28" s="211">
        <v>6</v>
      </c>
      <c r="B28" s="357"/>
      <c r="C28" s="358"/>
      <c r="D28" s="359"/>
      <c r="E28" s="360"/>
      <c r="F28" s="360"/>
      <c r="G28" s="360"/>
      <c r="H28" s="360"/>
      <c r="I28" s="360"/>
      <c r="J28" s="360"/>
      <c r="K28" s="360"/>
      <c r="L28" s="360"/>
      <c r="M28" s="210" t="s">
        <v>619</v>
      </c>
      <c r="N28" s="210" t="s">
        <v>619</v>
      </c>
      <c r="O28" s="366"/>
      <c r="P28" s="217">
        <v>5687.1166833333336</v>
      </c>
      <c r="Q28" s="220" t="s">
        <v>631</v>
      </c>
      <c r="R28" s="219">
        <v>5687.1166833333336</v>
      </c>
      <c r="S28" s="220" t="s">
        <v>632</v>
      </c>
      <c r="T28" s="220" t="s">
        <v>632</v>
      </c>
      <c r="U28" s="220">
        <v>1</v>
      </c>
      <c r="V28" s="220">
        <v>1</v>
      </c>
      <c r="W28" s="220" t="s">
        <v>633</v>
      </c>
      <c r="X28" s="219">
        <v>5687.1166833333336</v>
      </c>
      <c r="Y28" s="220" t="s">
        <v>633</v>
      </c>
      <c r="Z28" s="220" t="s">
        <v>452</v>
      </c>
      <c r="AA28" s="220" t="s">
        <v>452</v>
      </c>
      <c r="AB28" s="219">
        <v>6824.5400199999958</v>
      </c>
      <c r="AC28" s="220" t="s">
        <v>634</v>
      </c>
      <c r="AD28" s="219">
        <v>6824.5700200000001</v>
      </c>
      <c r="AE28" s="221">
        <v>0</v>
      </c>
      <c r="AF28" s="367" t="s">
        <v>629</v>
      </c>
      <c r="AG28" s="368"/>
      <c r="AH28" s="368"/>
      <c r="AI28" s="368"/>
      <c r="AJ28" s="368"/>
      <c r="AK28" s="369"/>
      <c r="AL28" s="223" t="s">
        <v>635</v>
      </c>
      <c r="AM28" s="212" t="s">
        <v>636</v>
      </c>
      <c r="AN28" s="224">
        <v>44181</v>
      </c>
      <c r="AO28" s="220" t="s">
        <v>637</v>
      </c>
      <c r="AP28" s="222">
        <v>44186</v>
      </c>
      <c r="AQ28" s="222">
        <v>44186</v>
      </c>
      <c r="AR28" s="222">
        <v>44186</v>
      </c>
      <c r="AS28" s="222">
        <v>44186</v>
      </c>
      <c r="AT28" s="222">
        <v>44681</v>
      </c>
      <c r="AU28" s="211"/>
      <c r="AV28" s="215" t="s">
        <v>638</v>
      </c>
    </row>
    <row r="39" spans="1:1" x14ac:dyDescent="0.25">
      <c r="A39" s="62" t="s">
        <v>437</v>
      </c>
    </row>
  </sheetData>
  <mergeCells count="83">
    <mergeCell ref="B25:B28"/>
    <mergeCell ref="C25:C28"/>
    <mergeCell ref="D25:D28"/>
    <mergeCell ref="E25:E28"/>
    <mergeCell ref="AL26:AO26"/>
    <mergeCell ref="K25:K28"/>
    <mergeCell ref="L25:L28"/>
    <mergeCell ref="AL25:AO25"/>
    <mergeCell ref="F25:F28"/>
    <mergeCell ref="G25:G28"/>
    <mergeCell ref="H25:H28"/>
    <mergeCell ref="I25:I28"/>
    <mergeCell ref="J25:J28"/>
    <mergeCell ref="O25:O28"/>
    <mergeCell ref="AF27:AK27"/>
    <mergeCell ref="AF28:AK28"/>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 ref="AJ22:AJ23"/>
    <mergeCell ref="AK22:AK23"/>
    <mergeCell ref="E22:E23"/>
    <mergeCell ref="F22:F23"/>
    <mergeCell ref="G22:G23"/>
    <mergeCell ref="H22:H23"/>
    <mergeCell ref="I22:I23"/>
    <mergeCell ref="J22:J23"/>
    <mergeCell ref="V21:V23"/>
    <mergeCell ref="W21:W23"/>
    <mergeCell ref="K22:K23"/>
    <mergeCell ref="Q21:Q23"/>
    <mergeCell ref="T22:T23"/>
    <mergeCell ref="L22:L23"/>
    <mergeCell ref="T10:AD10"/>
    <mergeCell ref="T11:AD11"/>
    <mergeCell ref="A19:AV19"/>
    <mergeCell ref="A20:AV20"/>
    <mergeCell ref="AD21:AD23"/>
    <mergeCell ref="AE21:AE23"/>
    <mergeCell ref="S21:T21"/>
    <mergeCell ref="X21:X23"/>
    <mergeCell ref="AH22:AI22"/>
    <mergeCell ref="A21:A23"/>
    <mergeCell ref="AS21:AS23"/>
    <mergeCell ref="S22:S23"/>
    <mergeCell ref="AC21:AC23"/>
    <mergeCell ref="U21:U23"/>
    <mergeCell ref="P21:P23"/>
    <mergeCell ref="AN22:AN23"/>
    <mergeCell ref="A5:AV5"/>
    <mergeCell ref="D6:I6"/>
    <mergeCell ref="T7:AD7"/>
    <mergeCell ref="T8:AD8"/>
    <mergeCell ref="T9:AD9"/>
    <mergeCell ref="B21:B23"/>
    <mergeCell ref="T12:AD12"/>
    <mergeCell ref="T13:AD13"/>
    <mergeCell ref="E21:L21"/>
    <mergeCell ref="M21:M23"/>
    <mergeCell ref="Z21:Z23"/>
    <mergeCell ref="N21:N23"/>
    <mergeCell ref="O21:O23"/>
    <mergeCell ref="R21:R23"/>
    <mergeCell ref="T14:AD14"/>
    <mergeCell ref="T15:AD15"/>
    <mergeCell ref="T16:AD16"/>
    <mergeCell ref="T18:AD18"/>
    <mergeCell ref="O17:AK17"/>
    <mergeCell ref="C21:C23"/>
    <mergeCell ref="D21:D23"/>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tabSelected="1" view="pageBreakPreview" topLeftCell="A38" zoomScale="70" zoomScaleNormal="90" zoomScaleSheetLayoutView="70" workbookViewId="0">
      <selection activeCell="B63" sqref="B63"/>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72" t="str">
        <f>'1. паспорт местоположение'!$A$5</f>
        <v>Год раскрытия информации: 2025 год</v>
      </c>
      <c r="B5" s="372"/>
      <c r="C5" s="3"/>
      <c r="D5" s="3"/>
      <c r="E5" s="3"/>
      <c r="F5" s="3"/>
      <c r="G5" s="3"/>
      <c r="H5" s="3"/>
    </row>
    <row r="6" spans="1:8" ht="18.75" x14ac:dyDescent="0.3">
      <c r="A6" s="10"/>
      <c r="B6" s="10"/>
      <c r="C6" s="10"/>
      <c r="D6" s="10"/>
      <c r="E6" s="10"/>
      <c r="F6" s="10"/>
      <c r="G6" s="10"/>
      <c r="H6" s="10"/>
    </row>
    <row r="7" spans="1:8" ht="18.75" x14ac:dyDescent="0.25">
      <c r="A7" s="245" t="s">
        <v>5</v>
      </c>
      <c r="B7" s="245"/>
      <c r="C7" s="17"/>
      <c r="D7" s="17"/>
      <c r="E7" s="17"/>
      <c r="F7" s="17"/>
      <c r="G7" s="17"/>
      <c r="H7" s="17"/>
    </row>
    <row r="8" spans="1:8" ht="18.75" x14ac:dyDescent="0.25">
      <c r="A8" s="17"/>
      <c r="B8" s="17"/>
      <c r="C8" s="17"/>
      <c r="D8" s="17"/>
      <c r="E8" s="17"/>
      <c r="F8" s="17"/>
      <c r="G8" s="17"/>
      <c r="H8" s="17"/>
    </row>
    <row r="9" spans="1:8" x14ac:dyDescent="0.25">
      <c r="A9" s="246" t="s">
        <v>264</v>
      </c>
      <c r="B9" s="246"/>
      <c r="C9" s="18"/>
      <c r="D9" s="18"/>
      <c r="E9" s="18"/>
      <c r="F9" s="18"/>
      <c r="G9" s="18"/>
      <c r="H9" s="18"/>
    </row>
    <row r="10" spans="1:8" x14ac:dyDescent="0.25">
      <c r="A10" s="251" t="s">
        <v>4</v>
      </c>
      <c r="B10" s="251"/>
      <c r="C10" s="15"/>
      <c r="D10" s="15"/>
      <c r="E10" s="15"/>
      <c r="F10" s="15"/>
      <c r="G10" s="15"/>
      <c r="H10" s="15"/>
    </row>
    <row r="11" spans="1:8" ht="18.75" x14ac:dyDescent="0.25">
      <c r="A11" s="17"/>
      <c r="B11" s="17"/>
      <c r="C11" s="17"/>
      <c r="D11" s="17"/>
      <c r="E11" s="17"/>
      <c r="F11" s="17"/>
      <c r="G11" s="17"/>
      <c r="H11" s="17"/>
    </row>
    <row r="12" spans="1:8" ht="30.75" customHeight="1" x14ac:dyDescent="0.25">
      <c r="A12" s="246" t="str">
        <f>'1. паспорт местоположение'!$A$12</f>
        <v>L_Che376</v>
      </c>
      <c r="B12" s="246"/>
      <c r="C12" s="18"/>
      <c r="D12" s="18"/>
      <c r="E12" s="18"/>
      <c r="F12" s="18"/>
      <c r="G12" s="18"/>
      <c r="H12" s="18"/>
    </row>
    <row r="13" spans="1:8" x14ac:dyDescent="0.25">
      <c r="A13" s="251" t="s">
        <v>3</v>
      </c>
      <c r="B13" s="251"/>
      <c r="C13" s="15"/>
      <c r="D13" s="15"/>
      <c r="E13" s="15"/>
      <c r="F13" s="15"/>
      <c r="G13" s="15"/>
      <c r="H13" s="15"/>
    </row>
    <row r="14" spans="1:8" ht="18.75" x14ac:dyDescent="0.25">
      <c r="A14" s="2"/>
      <c r="B14" s="2"/>
      <c r="C14" s="2"/>
      <c r="D14" s="2"/>
      <c r="E14" s="2"/>
      <c r="F14" s="2"/>
      <c r="G14" s="2"/>
      <c r="H14" s="2"/>
    </row>
    <row r="15" spans="1:8" ht="35.25" customHeight="1" x14ac:dyDescent="0.25">
      <c r="A15"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B15" s="252"/>
      <c r="C15" s="18"/>
      <c r="D15" s="18"/>
      <c r="E15" s="18"/>
      <c r="F15" s="18"/>
      <c r="G15" s="18"/>
      <c r="H15" s="18"/>
    </row>
    <row r="16" spans="1:8" x14ac:dyDescent="0.25">
      <c r="A16" s="251" t="s">
        <v>2</v>
      </c>
      <c r="B16" s="251"/>
      <c r="C16" s="15"/>
      <c r="D16" s="15"/>
      <c r="E16" s="15"/>
      <c r="F16" s="15"/>
      <c r="G16" s="15"/>
      <c r="H16" s="15"/>
    </row>
    <row r="17" spans="1:2" x14ac:dyDescent="0.25">
      <c r="B17" s="88"/>
    </row>
    <row r="18" spans="1:2" ht="33.75" customHeight="1" x14ac:dyDescent="0.25">
      <c r="A18" s="370" t="s">
        <v>256</v>
      </c>
      <c r="B18" s="371"/>
    </row>
    <row r="19" spans="1:2" x14ac:dyDescent="0.25">
      <c r="B19" s="87"/>
    </row>
    <row r="20" spans="1:2" x14ac:dyDescent="0.25">
      <c r="B20" s="89"/>
    </row>
    <row r="21" spans="1:2" ht="75" x14ac:dyDescent="0.25">
      <c r="A21" s="160" t="s">
        <v>148</v>
      </c>
      <c r="B21" s="90"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row>
    <row r="22" spans="1:2" x14ac:dyDescent="0.25">
      <c r="A22" s="161" t="s">
        <v>149</v>
      </c>
      <c r="B22" s="90" t="str">
        <f>'1. паспорт местоположение'!C27</f>
        <v>Ножай-Юртовский район</v>
      </c>
    </row>
    <row r="23" spans="1:2" x14ac:dyDescent="0.25">
      <c r="A23" s="161" t="s">
        <v>145</v>
      </c>
      <c r="B23" s="90" t="str">
        <f>'1. паспорт местоположение'!C22</f>
        <v>Прочее новое строительство объектов электросетевого хозяйства</v>
      </c>
    </row>
    <row r="24" spans="1:2" x14ac:dyDescent="0.25">
      <c r="A24" s="161" t="s">
        <v>150</v>
      </c>
      <c r="B24" s="91" t="s">
        <v>615</v>
      </c>
    </row>
    <row r="25" spans="1:2" x14ac:dyDescent="0.25">
      <c r="A25" s="162" t="s">
        <v>151</v>
      </c>
      <c r="B25" s="193">
        <f>VLOOKUP($A$12,'[1]6.2. отчет'!$D:$OM,400,0)</f>
        <v>2024</v>
      </c>
    </row>
    <row r="26" spans="1:2" x14ac:dyDescent="0.25">
      <c r="A26" s="162" t="s">
        <v>152</v>
      </c>
      <c r="B26" s="194" t="str">
        <f>'3.3 паспорт описание'!C30</f>
        <v>з</v>
      </c>
    </row>
    <row r="27" spans="1:2" ht="28.5" x14ac:dyDescent="0.25">
      <c r="A27" s="163" t="s">
        <v>449</v>
      </c>
      <c r="B27" s="194">
        <f>VLOOKUP($A$12,'[1]6.2. отчет'!$D:$OT,407,0)</f>
        <v>121.84595323900001</v>
      </c>
    </row>
    <row r="28" spans="1:2" x14ac:dyDescent="0.25">
      <c r="A28" s="164" t="s">
        <v>153</v>
      </c>
      <c r="B28" s="164" t="s">
        <v>458</v>
      </c>
    </row>
    <row r="29" spans="1:2" ht="28.5" x14ac:dyDescent="0.25">
      <c r="A29" s="163" t="s">
        <v>154</v>
      </c>
      <c r="B29" s="181">
        <f>B30</f>
        <v>116.68141301600002</v>
      </c>
    </row>
    <row r="30" spans="1:2" ht="28.5" x14ac:dyDescent="0.25">
      <c r="A30" s="163" t="s">
        <v>155</v>
      </c>
      <c r="B30" s="182">
        <f>B36+B46+B51+B56</f>
        <v>116.68141301600002</v>
      </c>
    </row>
    <row r="31" spans="1:2" x14ac:dyDescent="0.25">
      <c r="A31" s="164" t="s">
        <v>156</v>
      </c>
      <c r="B31" s="164"/>
    </row>
    <row r="32" spans="1:2" ht="40.5" customHeight="1" x14ac:dyDescent="0.25">
      <c r="A32" s="163" t="s">
        <v>157</v>
      </c>
      <c r="B32" s="177" t="s">
        <v>639</v>
      </c>
    </row>
    <row r="33" spans="1:4" x14ac:dyDescent="0.25">
      <c r="A33" s="164" t="s">
        <v>477</v>
      </c>
      <c r="B33" s="175">
        <f>'7. Паспорт отчет о закупке'!AD26/1000</f>
        <v>702.22947599999998</v>
      </c>
    </row>
    <row r="34" spans="1:4" x14ac:dyDescent="0.25">
      <c r="A34" s="164" t="s">
        <v>159</v>
      </c>
      <c r="B34" s="179">
        <f>B36/(B27-B57)</f>
        <v>0.89386720679339482</v>
      </c>
    </row>
    <row r="35" spans="1:4" x14ac:dyDescent="0.25">
      <c r="A35" s="164" t="s">
        <v>160</v>
      </c>
      <c r="B35" s="175">
        <v>104.29768874</v>
      </c>
      <c r="D35" s="169"/>
    </row>
    <row r="36" spans="1:4" x14ac:dyDescent="0.25">
      <c r="A36" s="164" t="s">
        <v>161</v>
      </c>
      <c r="B36" s="175">
        <v>104.29768874</v>
      </c>
    </row>
    <row r="37" spans="1:4" ht="28.5" x14ac:dyDescent="0.25">
      <c r="A37" s="163" t="s">
        <v>162</v>
      </c>
      <c r="B37" s="164" t="s">
        <v>294</v>
      </c>
    </row>
    <row r="38" spans="1:4" x14ac:dyDescent="0.25">
      <c r="A38" s="164" t="s">
        <v>158</v>
      </c>
      <c r="B38" s="164" t="s">
        <v>294</v>
      </c>
    </row>
    <row r="39" spans="1:4" x14ac:dyDescent="0.25">
      <c r="A39" s="164" t="s">
        <v>159</v>
      </c>
      <c r="B39" s="164" t="s">
        <v>294</v>
      </c>
    </row>
    <row r="40" spans="1:4" x14ac:dyDescent="0.25">
      <c r="A40" s="164" t="s">
        <v>160</v>
      </c>
      <c r="B40" s="164" t="s">
        <v>294</v>
      </c>
    </row>
    <row r="41" spans="1:4" x14ac:dyDescent="0.25">
      <c r="A41" s="164" t="s">
        <v>161</v>
      </c>
      <c r="B41" s="164" t="s">
        <v>294</v>
      </c>
    </row>
    <row r="42" spans="1:4" ht="28.5" x14ac:dyDescent="0.25">
      <c r="A42" s="163" t="s">
        <v>163</v>
      </c>
      <c r="B42" s="177" t="s">
        <v>593</v>
      </c>
    </row>
    <row r="43" spans="1:4" x14ac:dyDescent="0.25">
      <c r="A43" s="164" t="s">
        <v>459</v>
      </c>
      <c r="B43" s="92">
        <f>'7. Паспорт отчет о закупке'!AD25/1000</f>
        <v>143.93950169999999</v>
      </c>
    </row>
    <row r="44" spans="1:4" x14ac:dyDescent="0.25">
      <c r="A44" s="164" t="s">
        <v>159</v>
      </c>
      <c r="B44" s="167">
        <f>B46/(B27-B57)</f>
        <v>8.4285473937469282E-2</v>
      </c>
    </row>
    <row r="45" spans="1:4" x14ac:dyDescent="0.25">
      <c r="A45" s="164" t="s">
        <v>160</v>
      </c>
      <c r="B45" s="92">
        <v>9.8345481960000143</v>
      </c>
    </row>
    <row r="46" spans="1:4" x14ac:dyDescent="0.25">
      <c r="A46" s="164" t="s">
        <v>161</v>
      </c>
      <c r="B46" s="175">
        <v>9.8345481960000143</v>
      </c>
    </row>
    <row r="47" spans="1:4" ht="28.5" x14ac:dyDescent="0.25">
      <c r="A47" s="177" t="s">
        <v>163</v>
      </c>
      <c r="B47" s="181" t="s">
        <v>640</v>
      </c>
    </row>
    <row r="48" spans="1:4" x14ac:dyDescent="0.25">
      <c r="A48" s="164" t="s">
        <v>642</v>
      </c>
      <c r="B48" s="175">
        <f>'7. Паспорт отчет о закупке'!AD27/1000</f>
        <v>52.484580020000003</v>
      </c>
    </row>
    <row r="49" spans="1:4" x14ac:dyDescent="0.25">
      <c r="A49" s="164" t="s">
        <v>159</v>
      </c>
      <c r="B49" s="93">
        <f>B51/B27</f>
        <v>1.9125451260814687E-2</v>
      </c>
    </row>
    <row r="50" spans="1:4" x14ac:dyDescent="0.25">
      <c r="A50" s="164" t="s">
        <v>160</v>
      </c>
      <c r="B50" s="195">
        <v>2.3303588400000002</v>
      </c>
      <c r="D50" s="197"/>
    </row>
    <row r="51" spans="1:4" x14ac:dyDescent="0.25">
      <c r="A51" s="164" t="s">
        <v>161</v>
      </c>
      <c r="B51" s="195">
        <v>2.3303588400000002</v>
      </c>
    </row>
    <row r="52" spans="1:4" ht="28.5" x14ac:dyDescent="0.25">
      <c r="A52" s="177" t="s">
        <v>163</v>
      </c>
      <c r="B52" s="165" t="s">
        <v>643</v>
      </c>
    </row>
    <row r="53" spans="1:4" x14ac:dyDescent="0.25">
      <c r="A53" s="164" t="s">
        <v>641</v>
      </c>
      <c r="B53" s="175">
        <f>'7. Паспорт отчет о закупке'!AD28/1000</f>
        <v>6.8245700200000003</v>
      </c>
    </row>
    <row r="54" spans="1:4" x14ac:dyDescent="0.25">
      <c r="A54" s="164" t="s">
        <v>159</v>
      </c>
      <c r="B54" s="196">
        <f>B56/(B27-B57)</f>
        <v>1.8753393050216878E-3</v>
      </c>
    </row>
    <row r="55" spans="1:4" x14ac:dyDescent="0.25">
      <c r="A55" s="164" t="s">
        <v>160</v>
      </c>
      <c r="B55" s="175">
        <v>0.21881724</v>
      </c>
      <c r="D55" s="169"/>
    </row>
    <row r="56" spans="1:4" x14ac:dyDescent="0.25">
      <c r="A56" s="164" t="s">
        <v>161</v>
      </c>
      <c r="B56" s="175">
        <v>0.21881724</v>
      </c>
    </row>
    <row r="57" spans="1:4" x14ac:dyDescent="0.25">
      <c r="A57" s="177" t="s">
        <v>620</v>
      </c>
      <c r="B57" s="175">
        <f>B58+B59+B60</f>
        <v>5.1645402199999992</v>
      </c>
    </row>
    <row r="58" spans="1:4" x14ac:dyDescent="0.25">
      <c r="A58" s="177" t="s">
        <v>621</v>
      </c>
      <c r="B58" s="240">
        <f>0.642064+1.68519622+2.83728</f>
        <v>5.1645402199999992</v>
      </c>
    </row>
    <row r="59" spans="1:4" x14ac:dyDescent="0.25">
      <c r="A59" s="177" t="s">
        <v>622</v>
      </c>
      <c r="B59" s="175">
        <v>0</v>
      </c>
    </row>
    <row r="60" spans="1:4" x14ac:dyDescent="0.25">
      <c r="A60" s="164" t="s">
        <v>79</v>
      </c>
      <c r="B60" s="175">
        <v>0</v>
      </c>
    </row>
    <row r="61" spans="1:4" ht="28.5" x14ac:dyDescent="0.25">
      <c r="A61" s="162" t="s">
        <v>164</v>
      </c>
      <c r="B61" s="93">
        <f>B65+B63</f>
        <v>0.99915347129670051</v>
      </c>
    </row>
    <row r="62" spans="1:4" x14ac:dyDescent="0.25">
      <c r="A62" s="94" t="s">
        <v>156</v>
      </c>
      <c r="B62" s="164"/>
    </row>
    <row r="63" spans="1:4" x14ac:dyDescent="0.25">
      <c r="A63" s="94" t="s">
        <v>165</v>
      </c>
      <c r="B63" s="93">
        <f>B34+B49</f>
        <v>0.91299265805420948</v>
      </c>
    </row>
    <row r="64" spans="1:4" x14ac:dyDescent="0.25">
      <c r="A64" s="94" t="s">
        <v>166</v>
      </c>
      <c r="B64" s="164" t="s">
        <v>294</v>
      </c>
    </row>
    <row r="65" spans="1:4" x14ac:dyDescent="0.25">
      <c r="A65" s="94" t="s">
        <v>167</v>
      </c>
      <c r="B65" s="93">
        <f>B44+B54</f>
        <v>8.6160813242490975E-2</v>
      </c>
    </row>
    <row r="66" spans="1:4" x14ac:dyDescent="0.25">
      <c r="A66" s="162" t="s">
        <v>168</v>
      </c>
      <c r="B66" s="93">
        <f>B67/$B$27</f>
        <v>1</v>
      </c>
    </row>
    <row r="67" spans="1:4" x14ac:dyDescent="0.25">
      <c r="A67" s="162" t="s">
        <v>169</v>
      </c>
      <c r="B67" s="92">
        <f>'6.2. Паспорт фин осв ввод'!$D$24</f>
        <v>121.84595323900001</v>
      </c>
      <c r="C67" s="169">
        <f>B35+B45+B50+B55+B57</f>
        <v>121.84595323600001</v>
      </c>
      <c r="D67" s="169">
        <f>B67-C67</f>
        <v>2.9999966955074342E-9</v>
      </c>
    </row>
    <row r="68" spans="1:4" x14ac:dyDescent="0.25">
      <c r="A68" s="162" t="s">
        <v>170</v>
      </c>
      <c r="B68" s="93">
        <f>$B69/'6.2. Паспорт фин осв ввод'!$D$30</f>
        <v>1</v>
      </c>
      <c r="D68" s="168"/>
    </row>
    <row r="69" spans="1:4" x14ac:dyDescent="0.25">
      <c r="A69" s="162" t="s">
        <v>171</v>
      </c>
      <c r="B69" s="92">
        <f>'6.2. Паспорт фин осв ввод'!$D$30</f>
        <v>102.40397553</v>
      </c>
      <c r="C69" s="5">
        <f>(B36+B46+B51+B56)/1.2+B57</f>
        <v>102.39905106666669</v>
      </c>
      <c r="D69" s="169">
        <f>B69-C69</f>
        <v>4.9244633333103138E-3</v>
      </c>
    </row>
    <row r="70" spans="1:4" ht="15.75" customHeight="1" x14ac:dyDescent="0.25">
      <c r="A70" s="162" t="s">
        <v>172</v>
      </c>
      <c r="B70" s="94"/>
      <c r="D70" s="168"/>
    </row>
    <row r="71" spans="1:4" x14ac:dyDescent="0.25">
      <c r="A71" s="94" t="s">
        <v>173</v>
      </c>
      <c r="B71" s="176" t="s">
        <v>264</v>
      </c>
    </row>
    <row r="72" spans="1:4" x14ac:dyDescent="0.25">
      <c r="A72" s="94" t="s">
        <v>174</v>
      </c>
      <c r="B72" s="177" t="s">
        <v>457</v>
      </c>
    </row>
    <row r="73" spans="1:4" x14ac:dyDescent="0.25">
      <c r="A73" s="94" t="s">
        <v>175</v>
      </c>
      <c r="B73" s="177" t="s">
        <v>644</v>
      </c>
    </row>
    <row r="74" spans="1:4" x14ac:dyDescent="0.25">
      <c r="A74" s="94" t="s">
        <v>176</v>
      </c>
      <c r="B74" s="177" t="s">
        <v>478</v>
      </c>
    </row>
    <row r="75" spans="1:4" x14ac:dyDescent="0.25">
      <c r="A75" s="94" t="s">
        <v>177</v>
      </c>
      <c r="B75" s="177" t="s">
        <v>294</v>
      </c>
    </row>
    <row r="76" spans="1:4" ht="30" x14ac:dyDescent="0.25">
      <c r="A76" s="94" t="s">
        <v>178</v>
      </c>
      <c r="B76" s="164" t="s">
        <v>294</v>
      </c>
    </row>
    <row r="77" spans="1:4" ht="28.5" x14ac:dyDescent="0.25">
      <c r="A77" s="162" t="s">
        <v>179</v>
      </c>
      <c r="B77" s="164" t="s">
        <v>294</v>
      </c>
    </row>
    <row r="78" spans="1:4" x14ac:dyDescent="0.25">
      <c r="A78" s="94" t="s">
        <v>156</v>
      </c>
      <c r="B78" s="164" t="s">
        <v>294</v>
      </c>
    </row>
    <row r="79" spans="1:4" x14ac:dyDescent="0.25">
      <c r="A79" s="94" t="s">
        <v>180</v>
      </c>
      <c r="B79" s="164" t="s">
        <v>294</v>
      </c>
    </row>
    <row r="80" spans="1:4" x14ac:dyDescent="0.25">
      <c r="A80" s="94" t="s">
        <v>181</v>
      </c>
      <c r="B80" s="164" t="s">
        <v>294</v>
      </c>
    </row>
    <row r="81" spans="1:2" x14ac:dyDescent="0.25">
      <c r="A81" s="165" t="s">
        <v>182</v>
      </c>
      <c r="B81" s="164" t="s">
        <v>294</v>
      </c>
    </row>
    <row r="82" spans="1:2" x14ac:dyDescent="0.25">
      <c r="A82" s="162" t="s">
        <v>183</v>
      </c>
      <c r="B82" s="164" t="s">
        <v>294</v>
      </c>
    </row>
    <row r="83" spans="1:2" x14ac:dyDescent="0.25">
      <c r="A83" s="94" t="s">
        <v>184</v>
      </c>
      <c r="B83" s="164" t="s">
        <v>294</v>
      </c>
    </row>
    <row r="84" spans="1:2" x14ac:dyDescent="0.25">
      <c r="A84" s="94" t="s">
        <v>185</v>
      </c>
      <c r="B84" s="164" t="s">
        <v>294</v>
      </c>
    </row>
    <row r="85" spans="1:2" x14ac:dyDescent="0.25">
      <c r="A85" s="94" t="s">
        <v>186</v>
      </c>
      <c r="B85" s="164" t="s">
        <v>294</v>
      </c>
    </row>
    <row r="86" spans="1:2" ht="28.5" x14ac:dyDescent="0.25">
      <c r="A86" s="165" t="s">
        <v>187</v>
      </c>
      <c r="B86" s="94" t="str">
        <f>$B$26</f>
        <v>з</v>
      </c>
    </row>
    <row r="87" spans="1:2" ht="28.5" x14ac:dyDescent="0.25">
      <c r="A87" s="162" t="s">
        <v>188</v>
      </c>
      <c r="B87" s="164" t="s">
        <v>294</v>
      </c>
    </row>
    <row r="88" spans="1:2" x14ac:dyDescent="0.25">
      <c r="A88" s="94" t="s">
        <v>189</v>
      </c>
      <c r="B88" s="164" t="s">
        <v>294</v>
      </c>
    </row>
    <row r="89" spans="1:2" x14ac:dyDescent="0.25">
      <c r="A89" s="94" t="s">
        <v>190</v>
      </c>
      <c r="B89" s="164" t="s">
        <v>294</v>
      </c>
    </row>
    <row r="90" spans="1:2" x14ac:dyDescent="0.25">
      <c r="A90" s="94" t="s">
        <v>191</v>
      </c>
      <c r="B90" s="164" t="s">
        <v>294</v>
      </c>
    </row>
    <row r="91" spans="1:2" x14ac:dyDescent="0.25">
      <c r="A91" s="94" t="s">
        <v>192</v>
      </c>
      <c r="B91" s="164" t="s">
        <v>294</v>
      </c>
    </row>
    <row r="92" spans="1:2" x14ac:dyDescent="0.25">
      <c r="A92" s="166" t="s">
        <v>193</v>
      </c>
      <c r="B92" s="164"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41" t="str">
        <f>'1. паспорт местоположение'!$A$5</f>
        <v>Год раскрытия информации: 2025 год</v>
      </c>
      <c r="G9" s="241"/>
      <c r="H9" s="241"/>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45" t="s">
        <v>5</v>
      </c>
      <c r="G11" s="245"/>
      <c r="H11" s="245"/>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46" t="s">
        <v>264</v>
      </c>
      <c r="G13" s="246"/>
      <c r="H13" s="246"/>
      <c r="I13" s="1"/>
      <c r="J13" s="1"/>
      <c r="K13" s="1"/>
      <c r="L13" s="1"/>
      <c r="M13" s="1"/>
      <c r="N13" s="1"/>
      <c r="O13" s="1"/>
      <c r="P13" s="1"/>
      <c r="Q13" s="1"/>
      <c r="R13" s="1"/>
      <c r="S13" s="1"/>
      <c r="T13" s="1"/>
      <c r="U13" s="1"/>
      <c r="V13" s="1"/>
    </row>
    <row r="14" spans="1:22" s="25" customFormat="1" ht="15.75" x14ac:dyDescent="0.2">
      <c r="D14" s="18"/>
      <c r="E14" s="18"/>
      <c r="F14" s="251" t="s">
        <v>4</v>
      </c>
      <c r="G14" s="251"/>
      <c r="H14" s="251"/>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41"/>
      <c r="B16" s="241"/>
      <c r="C16" s="241"/>
      <c r="D16" s="241"/>
      <c r="E16" s="241"/>
      <c r="F16" s="246" t="str">
        <f>'1. паспорт местоположение'!$A$12</f>
        <v>L_Che376</v>
      </c>
      <c r="G16" s="246"/>
      <c r="H16" s="246"/>
      <c r="I16" s="241"/>
      <c r="J16" s="241"/>
      <c r="K16" s="241"/>
      <c r="L16" s="241"/>
      <c r="M16" s="241"/>
      <c r="N16" s="241"/>
      <c r="O16" s="241"/>
      <c r="P16" s="241"/>
      <c r="Q16" s="241"/>
      <c r="R16" s="241"/>
      <c r="S16" s="241"/>
    </row>
    <row r="17" spans="1:28" s="78" customFormat="1" ht="15.75" customHeight="1" x14ac:dyDescent="0.2">
      <c r="A17" s="241"/>
      <c r="B17" s="241"/>
      <c r="C17" s="241"/>
      <c r="D17" s="241"/>
      <c r="E17" s="241"/>
      <c r="F17" s="251" t="s">
        <v>3</v>
      </c>
      <c r="G17" s="251"/>
      <c r="H17" s="251"/>
      <c r="I17" s="241"/>
      <c r="J17" s="241"/>
      <c r="K17" s="241"/>
      <c r="L17" s="241"/>
      <c r="M17" s="241"/>
      <c r="N17" s="241"/>
      <c r="O17" s="241"/>
      <c r="P17" s="241"/>
      <c r="Q17" s="241"/>
      <c r="R17" s="241"/>
      <c r="S17" s="241"/>
    </row>
    <row r="18" spans="1:28" s="78" customFormat="1" ht="18.75" x14ac:dyDescent="0.2">
      <c r="A18" s="241"/>
      <c r="B18" s="241"/>
      <c r="C18" s="241"/>
      <c r="D18" s="241"/>
      <c r="E18" s="241"/>
      <c r="F18" s="1"/>
      <c r="G18" s="1"/>
      <c r="H18" s="1"/>
      <c r="I18" s="241"/>
      <c r="J18" s="241"/>
      <c r="K18" s="241"/>
      <c r="L18" s="241"/>
      <c r="M18" s="241"/>
      <c r="N18" s="241"/>
      <c r="O18" s="241"/>
      <c r="P18" s="241"/>
      <c r="Q18" s="241"/>
      <c r="R18" s="241"/>
      <c r="S18" s="241"/>
      <c r="T18" s="17"/>
      <c r="U18" s="17"/>
      <c r="V18" s="17"/>
      <c r="W18" s="17"/>
      <c r="X18" s="17"/>
      <c r="Y18" s="17"/>
      <c r="Z18" s="17"/>
      <c r="AA18" s="17"/>
      <c r="AB18" s="17"/>
    </row>
    <row r="19" spans="1:28" s="78" customFormat="1" ht="105.75" customHeight="1" x14ac:dyDescent="0.2">
      <c r="A19" s="241"/>
      <c r="B19" s="241"/>
      <c r="C19" s="241"/>
      <c r="D19" s="241"/>
      <c r="E19" s="241"/>
      <c r="F19"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G19" s="252"/>
      <c r="H19" s="252"/>
      <c r="I19" s="241"/>
      <c r="J19" s="241"/>
      <c r="K19" s="241"/>
      <c r="L19" s="241"/>
      <c r="M19" s="241"/>
      <c r="N19" s="241"/>
      <c r="O19" s="241"/>
      <c r="P19" s="241"/>
      <c r="Q19" s="241"/>
      <c r="R19" s="241"/>
      <c r="S19" s="241"/>
      <c r="T19" s="17"/>
      <c r="U19" s="17"/>
      <c r="V19" s="17"/>
      <c r="W19" s="17"/>
      <c r="X19" s="17"/>
      <c r="Y19" s="17"/>
      <c r="Z19" s="17"/>
      <c r="AA19" s="17"/>
      <c r="AB19" s="17"/>
    </row>
    <row r="20" spans="1:28" s="78" customFormat="1" ht="18.75" x14ac:dyDescent="0.2">
      <c r="A20" s="241"/>
      <c r="B20" s="241"/>
      <c r="C20" s="241"/>
      <c r="D20" s="241"/>
      <c r="E20" s="241"/>
      <c r="F20" s="251" t="s">
        <v>2</v>
      </c>
      <c r="G20" s="251"/>
      <c r="H20" s="251"/>
      <c r="I20" s="241"/>
      <c r="J20" s="241"/>
      <c r="K20" s="241"/>
      <c r="L20" s="241"/>
      <c r="M20" s="241"/>
      <c r="N20" s="241"/>
      <c r="O20" s="241"/>
      <c r="P20" s="241"/>
      <c r="Q20" s="241"/>
      <c r="R20" s="241"/>
      <c r="S20" s="241"/>
      <c r="T20" s="17"/>
      <c r="U20" s="17"/>
      <c r="V20" s="17"/>
      <c r="W20" s="17"/>
      <c r="X20" s="17"/>
      <c r="Y20" s="17"/>
      <c r="Z20" s="17"/>
      <c r="AA20" s="17"/>
      <c r="AB20" s="17"/>
    </row>
    <row r="21" spans="1:28" s="78" customFormat="1" ht="18.75" x14ac:dyDescent="0.2">
      <c r="A21" s="241"/>
      <c r="B21" s="241"/>
      <c r="C21" s="241"/>
      <c r="D21" s="241"/>
      <c r="E21" s="241"/>
      <c r="F21" s="251"/>
      <c r="G21" s="251"/>
      <c r="H21" s="251"/>
      <c r="I21" s="241"/>
      <c r="J21" s="241"/>
      <c r="K21" s="241"/>
      <c r="L21" s="241"/>
      <c r="M21" s="241"/>
      <c r="N21" s="241"/>
      <c r="O21" s="241"/>
      <c r="P21" s="241"/>
      <c r="Q21" s="241"/>
      <c r="R21" s="241"/>
      <c r="S21" s="241"/>
      <c r="T21" s="17"/>
      <c r="U21" s="17"/>
      <c r="V21" s="17"/>
      <c r="W21" s="17"/>
      <c r="X21" s="17"/>
      <c r="Y21" s="17"/>
      <c r="Z21" s="17"/>
      <c r="AA21" s="17"/>
      <c r="AB21" s="17"/>
    </row>
    <row r="22" spans="1:28" s="25" customFormat="1" ht="15" customHeight="1" x14ac:dyDescent="0.2">
      <c r="A22" s="241"/>
      <c r="B22" s="241"/>
      <c r="C22" s="241"/>
      <c r="D22" s="241"/>
      <c r="E22" s="241"/>
      <c r="F22" s="251"/>
      <c r="G22" s="251"/>
      <c r="H22" s="251"/>
      <c r="I22" s="241"/>
      <c r="J22" s="241"/>
      <c r="K22" s="241"/>
      <c r="L22" s="241"/>
      <c r="M22" s="241"/>
      <c r="N22" s="241"/>
      <c r="O22" s="241"/>
      <c r="P22" s="241"/>
      <c r="Q22" s="241"/>
      <c r="R22" s="241"/>
      <c r="S22" s="241"/>
      <c r="T22" s="15"/>
      <c r="U22" s="15"/>
      <c r="V22" s="15"/>
      <c r="W22" s="15"/>
      <c r="X22" s="15"/>
      <c r="Y22" s="15"/>
      <c r="Z22" s="15"/>
      <c r="AA22" s="15"/>
      <c r="AB22" s="15"/>
    </row>
    <row r="23" spans="1:28" s="25" customFormat="1" ht="15" customHeight="1" x14ac:dyDescent="0.2">
      <c r="A23" s="241"/>
      <c r="B23" s="241"/>
      <c r="C23" s="241"/>
      <c r="D23" s="241"/>
      <c r="E23" s="241"/>
      <c r="F23" s="256"/>
      <c r="G23" s="256"/>
      <c r="H23" s="256"/>
      <c r="I23" s="241"/>
      <c r="J23" s="241"/>
      <c r="K23" s="241"/>
      <c r="L23" s="241"/>
      <c r="M23" s="241"/>
      <c r="N23" s="241"/>
      <c r="O23" s="241"/>
      <c r="P23" s="241"/>
      <c r="Q23" s="241"/>
      <c r="R23" s="241"/>
      <c r="S23" s="241"/>
      <c r="T23" s="79"/>
      <c r="U23" s="79"/>
      <c r="V23" s="79"/>
      <c r="W23" s="79"/>
      <c r="X23" s="79"/>
      <c r="Y23" s="79"/>
    </row>
    <row r="24" spans="1:28" s="25" customFormat="1" ht="45.75" customHeight="1" x14ac:dyDescent="0.2">
      <c r="A24" s="257" t="s">
        <v>275</v>
      </c>
      <c r="B24" s="257"/>
      <c r="C24" s="257"/>
      <c r="D24" s="257"/>
      <c r="E24" s="257"/>
      <c r="F24" s="257"/>
      <c r="G24" s="257"/>
      <c r="H24" s="257"/>
      <c r="I24" s="257"/>
      <c r="J24" s="257"/>
      <c r="K24" s="257"/>
      <c r="L24" s="257"/>
      <c r="M24" s="257"/>
      <c r="N24" s="257"/>
      <c r="O24" s="257"/>
      <c r="P24" s="257"/>
      <c r="Q24" s="257"/>
      <c r="R24" s="257"/>
      <c r="S24" s="257"/>
      <c r="T24" s="114"/>
      <c r="U24" s="114"/>
      <c r="V24" s="114"/>
      <c r="W24" s="114"/>
      <c r="X24" s="114"/>
      <c r="Y24" s="114"/>
      <c r="Z24" s="114"/>
      <c r="AA24" s="114"/>
      <c r="AB24" s="114"/>
    </row>
    <row r="25" spans="1:28" s="25" customFormat="1" ht="15" customHeight="1" x14ac:dyDescent="0.2">
      <c r="A25" s="258"/>
      <c r="B25" s="258"/>
      <c r="C25" s="258"/>
      <c r="D25" s="258"/>
      <c r="E25" s="258"/>
      <c r="F25" s="258"/>
      <c r="G25" s="258"/>
      <c r="H25" s="258"/>
      <c r="I25" s="258"/>
      <c r="J25" s="258"/>
      <c r="K25" s="258"/>
      <c r="L25" s="258"/>
      <c r="M25" s="258"/>
      <c r="N25" s="258"/>
      <c r="O25" s="258"/>
      <c r="P25" s="258"/>
      <c r="Q25" s="258"/>
      <c r="R25" s="258"/>
      <c r="S25" s="258"/>
      <c r="T25" s="79"/>
      <c r="U25" s="79"/>
      <c r="V25" s="79"/>
      <c r="W25" s="79"/>
      <c r="X25" s="79"/>
      <c r="Y25" s="79"/>
    </row>
    <row r="26" spans="1:28" s="25" customFormat="1" ht="54" customHeight="1" x14ac:dyDescent="0.2">
      <c r="A26" s="253" t="s">
        <v>1</v>
      </c>
      <c r="B26" s="253" t="s">
        <v>276</v>
      </c>
      <c r="C26" s="254" t="s">
        <v>277</v>
      </c>
      <c r="D26" s="253" t="s">
        <v>278</v>
      </c>
      <c r="E26" s="253" t="s">
        <v>279</v>
      </c>
      <c r="F26" s="253" t="s">
        <v>280</v>
      </c>
      <c r="G26" s="253" t="s">
        <v>281</v>
      </c>
      <c r="H26" s="253" t="s">
        <v>282</v>
      </c>
      <c r="I26" s="253" t="s">
        <v>283</v>
      </c>
      <c r="J26" s="253" t="s">
        <v>284</v>
      </c>
      <c r="K26" s="253" t="s">
        <v>29</v>
      </c>
      <c r="L26" s="253" t="s">
        <v>285</v>
      </c>
      <c r="M26" s="253" t="s">
        <v>286</v>
      </c>
      <c r="N26" s="253" t="s">
        <v>287</v>
      </c>
      <c r="O26" s="253" t="s">
        <v>288</v>
      </c>
      <c r="P26" s="253" t="s">
        <v>289</v>
      </c>
      <c r="Q26" s="253" t="s">
        <v>290</v>
      </c>
      <c r="R26" s="253"/>
      <c r="S26" s="259" t="s">
        <v>291</v>
      </c>
      <c r="T26" s="79"/>
      <c r="U26" s="79"/>
      <c r="V26" s="79"/>
      <c r="W26" s="79"/>
      <c r="X26" s="79"/>
      <c r="Y26" s="79"/>
    </row>
    <row r="27" spans="1:28" s="25" customFormat="1" ht="180.75" customHeight="1" x14ac:dyDescent="0.2">
      <c r="A27" s="253"/>
      <c r="B27" s="253"/>
      <c r="C27" s="255"/>
      <c r="D27" s="253"/>
      <c r="E27" s="253"/>
      <c r="F27" s="253"/>
      <c r="G27" s="253"/>
      <c r="H27" s="253"/>
      <c r="I27" s="253"/>
      <c r="J27" s="253"/>
      <c r="K27" s="253"/>
      <c r="L27" s="253"/>
      <c r="M27" s="253"/>
      <c r="N27" s="253"/>
      <c r="O27" s="253"/>
      <c r="P27" s="253"/>
      <c r="Q27" s="115" t="s">
        <v>292</v>
      </c>
      <c r="R27" s="23" t="s">
        <v>293</v>
      </c>
      <c r="S27" s="259"/>
      <c r="T27" s="1"/>
      <c r="U27" s="1"/>
      <c r="V27" s="1"/>
      <c r="W27" s="1"/>
      <c r="X27" s="1"/>
      <c r="Y27" s="1"/>
      <c r="Z27" s="118"/>
      <c r="AA27" s="118"/>
      <c r="AB27" s="118"/>
    </row>
    <row r="28" spans="1:28" s="25" customFormat="1" ht="18.75" x14ac:dyDescent="0.2">
      <c r="A28" s="115">
        <v>1</v>
      </c>
      <c r="B28" s="141">
        <v>2</v>
      </c>
      <c r="C28" s="115">
        <v>3</v>
      </c>
      <c r="D28" s="141">
        <v>4</v>
      </c>
      <c r="E28" s="115">
        <v>5</v>
      </c>
      <c r="F28" s="141">
        <v>6</v>
      </c>
      <c r="G28" s="115">
        <v>7</v>
      </c>
      <c r="H28" s="141">
        <v>8</v>
      </c>
      <c r="I28" s="115">
        <v>9</v>
      </c>
      <c r="J28" s="141">
        <v>10</v>
      </c>
      <c r="K28" s="115">
        <v>11</v>
      </c>
      <c r="L28" s="141">
        <v>12</v>
      </c>
      <c r="M28" s="115">
        <v>13</v>
      </c>
      <c r="N28" s="141">
        <v>14</v>
      </c>
      <c r="O28" s="115">
        <v>15</v>
      </c>
      <c r="P28" s="141">
        <v>16</v>
      </c>
      <c r="Q28" s="115">
        <v>17</v>
      </c>
      <c r="R28" s="141">
        <v>18</v>
      </c>
      <c r="S28" s="115">
        <v>19</v>
      </c>
      <c r="T28" s="1"/>
      <c r="U28" s="1"/>
      <c r="V28" s="1"/>
      <c r="W28" s="1"/>
      <c r="X28" s="1"/>
      <c r="Y28" s="1"/>
      <c r="Z28" s="118"/>
      <c r="AA28" s="118"/>
      <c r="AB28" s="118"/>
    </row>
    <row r="29" spans="1:28" s="25" customFormat="1" ht="32.25" customHeight="1" x14ac:dyDescent="0.2">
      <c r="A29" s="142">
        <v>1</v>
      </c>
      <c r="B29" s="143" t="s">
        <v>294</v>
      </c>
      <c r="C29" s="143" t="s">
        <v>294</v>
      </c>
      <c r="D29" s="143" t="str">
        <f>IF(B29="нд","нд",IF('3.3 паспорт описание'!C37="Объект введен на основные фонды",'3.3 паспорт описание'!C37,"в работе"))</f>
        <v>нд</v>
      </c>
      <c r="E29" s="69" t="s">
        <v>294</v>
      </c>
      <c r="F29" s="143" t="s">
        <v>294</v>
      </c>
      <c r="G29" s="143" t="s">
        <v>294</v>
      </c>
      <c r="H29" s="143" t="s">
        <v>294</v>
      </c>
      <c r="I29" s="144" t="s">
        <v>294</v>
      </c>
      <c r="J29" s="143" t="s">
        <v>294</v>
      </c>
      <c r="K29" s="69" t="s">
        <v>294</v>
      </c>
      <c r="L29" s="69" t="s">
        <v>294</v>
      </c>
      <c r="M29" s="143" t="s">
        <v>294</v>
      </c>
      <c r="N29" s="69" t="s">
        <v>294</v>
      </c>
      <c r="O29" s="69" t="s">
        <v>294</v>
      </c>
      <c r="P29" s="69" t="s">
        <v>294</v>
      </c>
      <c r="Q29" s="69" t="s">
        <v>294</v>
      </c>
      <c r="R29" s="69" t="s">
        <v>294</v>
      </c>
      <c r="S29" s="143"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5"/>
      <c r="S30" s="145"/>
      <c r="T30" s="122"/>
      <c r="U30" s="122"/>
      <c r="V30" s="122"/>
      <c r="W30" s="122"/>
      <c r="X30" s="122"/>
      <c r="Y30" s="122"/>
      <c r="Z30" s="122"/>
      <c r="AA30" s="122"/>
      <c r="AB30" s="122"/>
    </row>
    <row r="31" spans="1:28" ht="15.75" x14ac:dyDescent="0.25">
      <c r="A31" s="146"/>
      <c r="B31" s="143" t="s">
        <v>451</v>
      </c>
      <c r="C31" s="143"/>
      <c r="D31" s="143"/>
      <c r="E31" s="146" t="s">
        <v>452</v>
      </c>
      <c r="F31" s="146" t="s">
        <v>452</v>
      </c>
      <c r="G31" s="146" t="s">
        <v>452</v>
      </c>
      <c r="H31" s="146"/>
      <c r="I31" s="146"/>
      <c r="J31" s="146"/>
      <c r="K31" s="146"/>
      <c r="L31" s="146"/>
      <c r="M31" s="146"/>
      <c r="N31" s="146"/>
      <c r="O31" s="146"/>
      <c r="P31" s="146"/>
      <c r="Q31" s="147"/>
      <c r="R31" s="148"/>
      <c r="S31" s="148"/>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7"/>
  <sheetViews>
    <sheetView view="pageBreakPreview" topLeftCell="A31" zoomScale="60" zoomScaleNormal="60" workbookViewId="0">
      <selection activeCell="A51" sqref="A51:XFD51"/>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60"/>
      <c r="B5" s="260"/>
      <c r="C5" s="260"/>
      <c r="D5" s="260"/>
      <c r="E5" s="260"/>
      <c r="F5" s="260"/>
      <c r="G5" s="260"/>
      <c r="H5" s="260"/>
      <c r="I5" s="260"/>
      <c r="J5" s="260"/>
      <c r="K5" s="260"/>
      <c r="L5" s="260"/>
      <c r="M5" s="260"/>
      <c r="N5" s="260"/>
      <c r="O5" s="260"/>
      <c r="P5" s="260"/>
      <c r="Q5" s="260"/>
      <c r="R5" s="260"/>
      <c r="S5" s="260"/>
      <c r="T5" s="260"/>
    </row>
    <row r="6" spans="1:27" s="78" customFormat="1" x14ac:dyDescent="0.2">
      <c r="A6" s="241" t="str">
        <f>'1. паспорт местоположение'!$A$5</f>
        <v>Год раскрытия информации: 2025 год</v>
      </c>
      <c r="B6" s="241"/>
      <c r="C6" s="241"/>
      <c r="D6" s="241"/>
      <c r="E6" s="241"/>
      <c r="F6" s="241"/>
      <c r="G6" s="241"/>
      <c r="H6" s="241"/>
      <c r="I6" s="241"/>
      <c r="J6" s="241"/>
      <c r="K6" s="241"/>
      <c r="L6" s="241"/>
      <c r="M6" s="241"/>
      <c r="N6" s="241"/>
      <c r="O6" s="241"/>
      <c r="P6" s="241"/>
      <c r="Q6" s="241"/>
      <c r="R6" s="241"/>
      <c r="S6" s="241"/>
      <c r="T6" s="241"/>
      <c r="U6" s="76"/>
      <c r="V6" s="76"/>
      <c r="W6" s="76"/>
      <c r="X6" s="76"/>
      <c r="Y6" s="76"/>
      <c r="Z6" s="76"/>
      <c r="AA6" s="76"/>
    </row>
    <row r="7" spans="1:27" s="78" customFormat="1" ht="15.75" customHeight="1" x14ac:dyDescent="0.2">
      <c r="A7" s="260">
        <v>0</v>
      </c>
      <c r="B7" s="260"/>
      <c r="C7" s="260"/>
      <c r="D7" s="260"/>
      <c r="E7" s="260"/>
      <c r="F7" s="260"/>
      <c r="G7" s="260"/>
      <c r="H7" s="260"/>
      <c r="I7" s="260"/>
      <c r="J7" s="260"/>
      <c r="K7" s="260"/>
      <c r="L7" s="260"/>
      <c r="M7" s="260"/>
      <c r="N7" s="260"/>
      <c r="O7" s="260"/>
      <c r="P7" s="260"/>
      <c r="Q7" s="260"/>
      <c r="R7" s="260"/>
      <c r="S7" s="260"/>
      <c r="T7" s="260"/>
    </row>
    <row r="8" spans="1:27" s="78" customFormat="1" ht="18.75" x14ac:dyDescent="0.2">
      <c r="A8" s="245" t="s">
        <v>5</v>
      </c>
      <c r="B8" s="245"/>
      <c r="C8" s="245"/>
      <c r="D8" s="245"/>
      <c r="E8" s="245"/>
      <c r="F8" s="245"/>
      <c r="G8" s="245"/>
      <c r="H8" s="245"/>
      <c r="I8" s="245"/>
      <c r="J8" s="245"/>
      <c r="K8" s="245"/>
      <c r="L8" s="245"/>
      <c r="M8" s="245"/>
      <c r="N8" s="245"/>
      <c r="O8" s="245"/>
      <c r="P8" s="245"/>
      <c r="Q8" s="245"/>
      <c r="R8" s="245"/>
      <c r="S8" s="245"/>
      <c r="T8" s="245"/>
      <c r="U8" s="83"/>
      <c r="V8" s="83"/>
      <c r="W8" s="83"/>
      <c r="X8" s="83"/>
      <c r="Y8" s="83"/>
    </row>
    <row r="9" spans="1:27" s="78" customFormat="1" ht="18.75" x14ac:dyDescent="0.2">
      <c r="A9" s="260">
        <v>0</v>
      </c>
      <c r="B9" s="260"/>
      <c r="C9" s="260"/>
      <c r="D9" s="260"/>
      <c r="E9" s="260"/>
      <c r="F9" s="260"/>
      <c r="G9" s="260"/>
      <c r="H9" s="260"/>
      <c r="I9" s="260"/>
      <c r="J9" s="260"/>
      <c r="K9" s="260"/>
      <c r="L9" s="260"/>
      <c r="M9" s="260"/>
      <c r="N9" s="260"/>
      <c r="O9" s="260"/>
      <c r="P9" s="260"/>
      <c r="Q9" s="260"/>
      <c r="R9" s="260"/>
      <c r="S9" s="260"/>
      <c r="T9" s="260"/>
      <c r="U9" s="17"/>
      <c r="V9" s="17"/>
      <c r="W9" s="17"/>
    </row>
    <row r="10" spans="1:27" s="78" customFormat="1" ht="18.75" customHeight="1" x14ac:dyDescent="0.2">
      <c r="A10" s="246" t="s">
        <v>264</v>
      </c>
      <c r="B10" s="246"/>
      <c r="C10" s="246"/>
      <c r="D10" s="246"/>
      <c r="E10" s="246"/>
      <c r="F10" s="246"/>
      <c r="G10" s="246"/>
      <c r="H10" s="246"/>
      <c r="I10" s="246"/>
      <c r="J10" s="246"/>
      <c r="K10" s="246"/>
      <c r="L10" s="246"/>
      <c r="M10" s="246"/>
      <c r="N10" s="246"/>
      <c r="O10" s="246"/>
      <c r="P10" s="246"/>
      <c r="Q10" s="246"/>
      <c r="R10" s="246"/>
      <c r="S10" s="246"/>
      <c r="T10" s="246"/>
      <c r="U10" s="84"/>
      <c r="V10" s="84"/>
      <c r="W10" s="84"/>
      <c r="X10" s="84"/>
      <c r="Y10" s="84"/>
    </row>
    <row r="11" spans="1:27" s="78" customFormat="1" ht="18.75" customHeight="1" x14ac:dyDescent="0.2">
      <c r="A11" s="251" t="s">
        <v>4</v>
      </c>
      <c r="B11" s="251"/>
      <c r="C11" s="251"/>
      <c r="D11" s="251"/>
      <c r="E11" s="251"/>
      <c r="F11" s="251"/>
      <c r="G11" s="251"/>
      <c r="H11" s="251"/>
      <c r="I11" s="251"/>
      <c r="J11" s="251"/>
      <c r="K11" s="251"/>
      <c r="L11" s="251"/>
      <c r="M11" s="251"/>
      <c r="N11" s="251"/>
      <c r="O11" s="251"/>
      <c r="P11" s="251"/>
      <c r="Q11" s="251"/>
      <c r="R11" s="251"/>
      <c r="S11" s="251"/>
      <c r="T11" s="251"/>
      <c r="U11" s="82"/>
      <c r="V11" s="82"/>
      <c r="W11" s="82"/>
      <c r="X11" s="82"/>
      <c r="Y11" s="82"/>
    </row>
    <row r="12" spans="1:27" s="78" customFormat="1" ht="18.75" x14ac:dyDescent="0.2">
      <c r="A12" s="260">
        <v>0</v>
      </c>
      <c r="B12" s="260"/>
      <c r="C12" s="260"/>
      <c r="D12" s="260"/>
      <c r="E12" s="260"/>
      <c r="F12" s="260"/>
      <c r="G12" s="260"/>
      <c r="H12" s="260"/>
      <c r="I12" s="260"/>
      <c r="J12" s="260"/>
      <c r="K12" s="260"/>
      <c r="L12" s="260"/>
      <c r="M12" s="260"/>
      <c r="N12" s="260"/>
      <c r="O12" s="260"/>
      <c r="P12" s="260"/>
      <c r="Q12" s="260"/>
      <c r="R12" s="260"/>
      <c r="S12" s="260"/>
      <c r="T12" s="260"/>
      <c r="U12" s="17"/>
      <c r="V12" s="17"/>
      <c r="W12" s="17"/>
    </row>
    <row r="13" spans="1:27" s="78" customFormat="1" ht="18.75" customHeight="1" x14ac:dyDescent="0.2">
      <c r="A13" s="246" t="str">
        <f>'1. паспорт местоположение'!$A$12</f>
        <v>L_Che376</v>
      </c>
      <c r="B13" s="246"/>
      <c r="C13" s="246"/>
      <c r="D13" s="246"/>
      <c r="E13" s="246"/>
      <c r="F13" s="246"/>
      <c r="G13" s="246"/>
      <c r="H13" s="246"/>
      <c r="I13" s="246"/>
      <c r="J13" s="246"/>
      <c r="K13" s="246"/>
      <c r="L13" s="246"/>
      <c r="M13" s="246"/>
      <c r="N13" s="246"/>
      <c r="O13" s="246"/>
      <c r="P13" s="246"/>
      <c r="Q13" s="246"/>
      <c r="R13" s="246"/>
      <c r="S13" s="246"/>
      <c r="T13" s="246"/>
      <c r="U13" s="84"/>
      <c r="V13" s="84"/>
      <c r="W13" s="84"/>
      <c r="X13" s="84"/>
      <c r="Y13" s="84"/>
    </row>
    <row r="14" spans="1:27" s="78" customFormat="1" ht="18.75" customHeight="1" x14ac:dyDescent="0.2">
      <c r="A14" s="251" t="s">
        <v>3</v>
      </c>
      <c r="B14" s="251"/>
      <c r="C14" s="251"/>
      <c r="D14" s="251"/>
      <c r="E14" s="251"/>
      <c r="F14" s="251"/>
      <c r="G14" s="251"/>
      <c r="H14" s="251"/>
      <c r="I14" s="251"/>
      <c r="J14" s="251"/>
      <c r="K14" s="251"/>
      <c r="L14" s="251"/>
      <c r="M14" s="251"/>
      <c r="N14" s="251"/>
      <c r="O14" s="251"/>
      <c r="P14" s="251"/>
      <c r="Q14" s="251"/>
      <c r="R14" s="251"/>
      <c r="S14" s="251"/>
      <c r="T14" s="251"/>
      <c r="U14" s="82"/>
      <c r="V14" s="82"/>
      <c r="W14" s="82"/>
      <c r="X14" s="82"/>
      <c r="Y14" s="82"/>
    </row>
    <row r="15" spans="1:27" s="81" customFormat="1" ht="15.75" customHeight="1" x14ac:dyDescent="0.2">
      <c r="A15" s="276">
        <v>0</v>
      </c>
      <c r="B15" s="276"/>
      <c r="C15" s="276"/>
      <c r="D15" s="276"/>
      <c r="E15" s="276"/>
      <c r="F15" s="276"/>
      <c r="G15" s="276"/>
      <c r="H15" s="276"/>
      <c r="I15" s="276"/>
      <c r="J15" s="276"/>
      <c r="K15" s="276"/>
      <c r="L15" s="276"/>
      <c r="M15" s="276"/>
      <c r="N15" s="276"/>
      <c r="O15" s="276"/>
      <c r="P15" s="276"/>
      <c r="Q15" s="276"/>
      <c r="R15" s="276"/>
      <c r="S15" s="276"/>
      <c r="T15" s="276"/>
      <c r="U15" s="1"/>
      <c r="V15" s="1"/>
      <c r="W15" s="1"/>
    </row>
    <row r="16" spans="1:27" s="25" customFormat="1" x14ac:dyDescent="0.2">
      <c r="A16"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B16" s="252"/>
      <c r="C16" s="252"/>
      <c r="D16" s="252"/>
      <c r="E16" s="252"/>
      <c r="F16" s="252"/>
      <c r="G16" s="252"/>
      <c r="H16" s="252"/>
      <c r="I16" s="252"/>
      <c r="J16" s="252"/>
      <c r="K16" s="252"/>
      <c r="L16" s="252"/>
      <c r="M16" s="252"/>
      <c r="N16" s="252"/>
      <c r="O16" s="252"/>
      <c r="P16" s="252"/>
      <c r="Q16" s="252"/>
      <c r="R16" s="252"/>
      <c r="S16" s="252"/>
      <c r="T16" s="252"/>
      <c r="U16" s="84"/>
      <c r="V16" s="84"/>
      <c r="W16" s="84"/>
      <c r="X16" s="84"/>
      <c r="Y16" s="84"/>
    </row>
    <row r="17" spans="1:113" s="25" customFormat="1" ht="15" customHeight="1" x14ac:dyDescent="0.2">
      <c r="A17" s="251" t="s">
        <v>2</v>
      </c>
      <c r="B17" s="251"/>
      <c r="C17" s="251"/>
      <c r="D17" s="251"/>
      <c r="E17" s="251"/>
      <c r="F17" s="251"/>
      <c r="G17" s="251"/>
      <c r="H17" s="251"/>
      <c r="I17" s="251"/>
      <c r="J17" s="251"/>
      <c r="K17" s="251"/>
      <c r="L17" s="251"/>
      <c r="M17" s="251"/>
      <c r="N17" s="251"/>
      <c r="O17" s="251"/>
      <c r="P17" s="251"/>
      <c r="Q17" s="251"/>
      <c r="R17" s="251"/>
      <c r="S17" s="251"/>
      <c r="T17" s="251"/>
      <c r="U17" s="82"/>
      <c r="V17" s="82"/>
      <c r="W17" s="82"/>
      <c r="X17" s="82"/>
      <c r="Y17" s="82"/>
    </row>
    <row r="18" spans="1:113" s="25"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25" customFormat="1" ht="15" customHeight="1" x14ac:dyDescent="0.2">
      <c r="A19" s="264" t="s">
        <v>295</v>
      </c>
      <c r="B19" s="264"/>
      <c r="C19" s="264"/>
      <c r="D19" s="264"/>
      <c r="E19" s="264"/>
      <c r="F19" s="264"/>
      <c r="G19" s="264"/>
      <c r="H19" s="264"/>
      <c r="I19" s="264"/>
      <c r="J19" s="264"/>
      <c r="K19" s="264"/>
      <c r="L19" s="264"/>
      <c r="M19" s="264"/>
      <c r="N19" s="264"/>
      <c r="O19" s="264"/>
      <c r="P19" s="264"/>
      <c r="Q19" s="264"/>
      <c r="R19" s="264"/>
      <c r="S19" s="264"/>
      <c r="T19" s="264"/>
    </row>
    <row r="20" spans="1:113" s="26"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66" t="s">
        <v>1</v>
      </c>
      <c r="B21" s="269" t="s">
        <v>296</v>
      </c>
      <c r="C21" s="270"/>
      <c r="D21" s="273" t="s">
        <v>297</v>
      </c>
      <c r="E21" s="269" t="s">
        <v>298</v>
      </c>
      <c r="F21" s="270"/>
      <c r="G21" s="269" t="s">
        <v>299</v>
      </c>
      <c r="H21" s="270"/>
      <c r="I21" s="269" t="s">
        <v>300</v>
      </c>
      <c r="J21" s="270"/>
      <c r="K21" s="273" t="s">
        <v>301</v>
      </c>
      <c r="L21" s="269" t="s">
        <v>302</v>
      </c>
      <c r="M21" s="270"/>
      <c r="N21" s="269" t="s">
        <v>303</v>
      </c>
      <c r="O21" s="270"/>
      <c r="P21" s="273" t="s">
        <v>304</v>
      </c>
      <c r="Q21" s="261" t="s">
        <v>36</v>
      </c>
      <c r="R21" s="278"/>
      <c r="S21" s="261" t="s">
        <v>35</v>
      </c>
      <c r="T21" s="262"/>
    </row>
    <row r="22" spans="1:113" ht="204.75" customHeight="1" x14ac:dyDescent="0.25">
      <c r="A22" s="267"/>
      <c r="B22" s="271"/>
      <c r="C22" s="272"/>
      <c r="D22" s="274"/>
      <c r="E22" s="271"/>
      <c r="F22" s="272"/>
      <c r="G22" s="271"/>
      <c r="H22" s="272"/>
      <c r="I22" s="271"/>
      <c r="J22" s="272"/>
      <c r="K22" s="275"/>
      <c r="L22" s="271"/>
      <c r="M22" s="272"/>
      <c r="N22" s="271"/>
      <c r="O22" s="272"/>
      <c r="P22" s="275"/>
      <c r="Q22" s="27" t="s">
        <v>34</v>
      </c>
      <c r="R22" s="27" t="s">
        <v>242</v>
      </c>
      <c r="S22" s="27" t="s">
        <v>33</v>
      </c>
      <c r="T22" s="27" t="s">
        <v>32</v>
      </c>
    </row>
    <row r="23" spans="1:113" ht="51.75" customHeight="1" x14ac:dyDescent="0.25">
      <c r="A23" s="268"/>
      <c r="B23" s="27" t="s">
        <v>30</v>
      </c>
      <c r="C23" s="27" t="s">
        <v>31</v>
      </c>
      <c r="D23" s="275"/>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8">
        <v>1</v>
      </c>
      <c r="B25" s="186" t="s">
        <v>537</v>
      </c>
      <c r="C25" s="186" t="s">
        <v>537</v>
      </c>
      <c r="D25" s="28" t="s">
        <v>538</v>
      </c>
      <c r="E25" s="28" t="s">
        <v>539</v>
      </c>
      <c r="F25" s="28" t="s">
        <v>540</v>
      </c>
      <c r="G25" s="28" t="s">
        <v>541</v>
      </c>
      <c r="H25" s="28" t="s">
        <v>541</v>
      </c>
      <c r="I25" s="29" t="s">
        <v>294</v>
      </c>
      <c r="J25" s="29" t="s">
        <v>542</v>
      </c>
      <c r="K25" s="29" t="s">
        <v>294</v>
      </c>
      <c r="L25" s="29">
        <v>10</v>
      </c>
      <c r="M25" s="29">
        <v>10</v>
      </c>
      <c r="N25" s="189">
        <v>0.1</v>
      </c>
      <c r="O25" s="28">
        <v>0.1</v>
      </c>
      <c r="P25" s="29" t="s">
        <v>294</v>
      </c>
      <c r="Q25" s="29" t="s">
        <v>488</v>
      </c>
      <c r="R25" s="29" t="s">
        <v>488</v>
      </c>
      <c r="S25" s="29" t="s">
        <v>488</v>
      </c>
      <c r="T25" s="29" t="s">
        <v>488</v>
      </c>
    </row>
    <row r="26" spans="1:113" x14ac:dyDescent="0.25">
      <c r="A26" s="28">
        <v>2</v>
      </c>
      <c r="B26" s="186" t="s">
        <v>543</v>
      </c>
      <c r="C26" s="186" t="s">
        <v>543</v>
      </c>
      <c r="D26" s="28" t="s">
        <v>538</v>
      </c>
      <c r="E26" s="28" t="s">
        <v>539</v>
      </c>
      <c r="F26" s="28" t="s">
        <v>540</v>
      </c>
      <c r="G26" s="28" t="s">
        <v>544</v>
      </c>
      <c r="H26" s="28" t="s">
        <v>544</v>
      </c>
      <c r="I26" s="29" t="s">
        <v>294</v>
      </c>
      <c r="J26" s="29" t="s">
        <v>542</v>
      </c>
      <c r="K26" s="29" t="s">
        <v>294</v>
      </c>
      <c r="L26" s="29">
        <v>10</v>
      </c>
      <c r="M26" s="29">
        <v>10</v>
      </c>
      <c r="N26" s="189">
        <v>0.25</v>
      </c>
      <c r="O26" s="28">
        <v>0.25</v>
      </c>
      <c r="P26" s="29" t="s">
        <v>294</v>
      </c>
      <c r="Q26" s="29" t="s">
        <v>488</v>
      </c>
      <c r="R26" s="29" t="s">
        <v>488</v>
      </c>
      <c r="S26" s="29" t="s">
        <v>488</v>
      </c>
      <c r="T26" s="29" t="s">
        <v>488</v>
      </c>
    </row>
    <row r="27" spans="1:113" s="32" customFormat="1" x14ac:dyDescent="0.2">
      <c r="A27" s="28">
        <v>3</v>
      </c>
      <c r="B27" s="186" t="s">
        <v>545</v>
      </c>
      <c r="C27" s="186" t="s">
        <v>545</v>
      </c>
      <c r="D27" s="28" t="s">
        <v>538</v>
      </c>
      <c r="E27" s="28" t="s">
        <v>539</v>
      </c>
      <c r="F27" s="28" t="s">
        <v>540</v>
      </c>
      <c r="G27" s="28" t="s">
        <v>546</v>
      </c>
      <c r="H27" s="28" t="s">
        <v>546</v>
      </c>
      <c r="I27" s="29" t="s">
        <v>294</v>
      </c>
      <c r="J27" s="29" t="s">
        <v>542</v>
      </c>
      <c r="K27" s="29" t="s">
        <v>294</v>
      </c>
      <c r="L27" s="29">
        <v>10</v>
      </c>
      <c r="M27" s="29">
        <v>10</v>
      </c>
      <c r="N27" s="189">
        <v>0.16</v>
      </c>
      <c r="O27" s="28">
        <v>0.16</v>
      </c>
      <c r="P27" s="29" t="s">
        <v>294</v>
      </c>
      <c r="Q27" s="29" t="s">
        <v>488</v>
      </c>
      <c r="R27" s="29" t="s">
        <v>488</v>
      </c>
      <c r="S27" s="29" t="s">
        <v>488</v>
      </c>
      <c r="T27" s="29" t="s">
        <v>488</v>
      </c>
    </row>
    <row r="28" spans="1:113" s="32" customFormat="1" x14ac:dyDescent="0.2">
      <c r="A28" s="28">
        <v>4</v>
      </c>
      <c r="B28" s="186" t="s">
        <v>547</v>
      </c>
      <c r="C28" s="186" t="s">
        <v>547</v>
      </c>
      <c r="D28" s="28" t="s">
        <v>538</v>
      </c>
      <c r="E28" s="28" t="s">
        <v>539</v>
      </c>
      <c r="F28" s="28" t="s">
        <v>540</v>
      </c>
      <c r="G28" s="28" t="s">
        <v>548</v>
      </c>
      <c r="H28" s="28" t="s">
        <v>548</v>
      </c>
      <c r="I28" s="29" t="s">
        <v>294</v>
      </c>
      <c r="J28" s="29" t="s">
        <v>542</v>
      </c>
      <c r="K28" s="29" t="s">
        <v>294</v>
      </c>
      <c r="L28" s="29">
        <v>10</v>
      </c>
      <c r="M28" s="29">
        <v>10</v>
      </c>
      <c r="N28" s="189">
        <v>0.4</v>
      </c>
      <c r="O28" s="28">
        <v>0.4</v>
      </c>
      <c r="P28" s="29" t="s">
        <v>294</v>
      </c>
      <c r="Q28" s="29" t="s">
        <v>488</v>
      </c>
      <c r="R28" s="29" t="s">
        <v>488</v>
      </c>
      <c r="S28" s="29" t="s">
        <v>488</v>
      </c>
      <c r="T28" s="29" t="s">
        <v>488</v>
      </c>
    </row>
    <row r="29" spans="1:113" x14ac:dyDescent="0.25">
      <c r="A29" s="28">
        <v>5</v>
      </c>
      <c r="B29" s="186" t="s">
        <v>549</v>
      </c>
      <c r="C29" s="186" t="s">
        <v>549</v>
      </c>
      <c r="D29" s="28" t="s">
        <v>538</v>
      </c>
      <c r="E29" s="28" t="s">
        <v>539</v>
      </c>
      <c r="F29" s="28" t="s">
        <v>540</v>
      </c>
      <c r="G29" s="28" t="s">
        <v>550</v>
      </c>
      <c r="H29" s="28" t="s">
        <v>550</v>
      </c>
      <c r="I29" s="29" t="s">
        <v>294</v>
      </c>
      <c r="J29" s="29" t="s">
        <v>542</v>
      </c>
      <c r="K29" s="29" t="s">
        <v>294</v>
      </c>
      <c r="L29" s="29">
        <v>10</v>
      </c>
      <c r="M29" s="29">
        <v>10</v>
      </c>
      <c r="N29" s="189">
        <v>0.25</v>
      </c>
      <c r="O29" s="28">
        <v>0.25</v>
      </c>
      <c r="P29" s="29" t="s">
        <v>294</v>
      </c>
      <c r="Q29" s="29" t="s">
        <v>488</v>
      </c>
      <c r="R29" s="29" t="s">
        <v>488</v>
      </c>
      <c r="S29" s="29" t="s">
        <v>488</v>
      </c>
      <c r="T29" s="29" t="s">
        <v>488</v>
      </c>
    </row>
    <row r="30" spans="1:113" x14ac:dyDescent="0.25">
      <c r="A30" s="28">
        <v>6</v>
      </c>
      <c r="B30" s="186" t="s">
        <v>551</v>
      </c>
      <c r="C30" s="186" t="s">
        <v>551</v>
      </c>
      <c r="D30" s="28" t="s">
        <v>538</v>
      </c>
      <c r="E30" s="28" t="s">
        <v>539</v>
      </c>
      <c r="F30" s="28" t="s">
        <v>540</v>
      </c>
      <c r="G30" s="28" t="s">
        <v>552</v>
      </c>
      <c r="H30" s="28" t="s">
        <v>552</v>
      </c>
      <c r="I30" s="29" t="s">
        <v>294</v>
      </c>
      <c r="J30" s="29" t="s">
        <v>542</v>
      </c>
      <c r="K30" s="29" t="s">
        <v>294</v>
      </c>
      <c r="L30" s="29">
        <v>10</v>
      </c>
      <c r="M30" s="29">
        <v>10</v>
      </c>
      <c r="N30" s="189">
        <v>0.4</v>
      </c>
      <c r="O30" s="28">
        <v>0.4</v>
      </c>
      <c r="P30" s="29" t="s">
        <v>294</v>
      </c>
      <c r="Q30" s="29" t="s">
        <v>488</v>
      </c>
      <c r="R30" s="29" t="s">
        <v>488</v>
      </c>
      <c r="S30" s="29" t="s">
        <v>488</v>
      </c>
      <c r="T30" s="29" t="s">
        <v>488</v>
      </c>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A31" s="28">
        <v>7</v>
      </c>
      <c r="B31" s="186" t="s">
        <v>553</v>
      </c>
      <c r="C31" s="186" t="s">
        <v>553</v>
      </c>
      <c r="D31" s="28" t="s">
        <v>538</v>
      </c>
      <c r="E31" s="28" t="s">
        <v>539</v>
      </c>
      <c r="F31" s="28" t="s">
        <v>540</v>
      </c>
      <c r="G31" s="28" t="s">
        <v>554</v>
      </c>
      <c r="H31" s="28" t="s">
        <v>554</v>
      </c>
      <c r="I31" s="29" t="s">
        <v>294</v>
      </c>
      <c r="J31" s="29" t="s">
        <v>542</v>
      </c>
      <c r="K31" s="29" t="s">
        <v>294</v>
      </c>
      <c r="L31" s="29">
        <v>10</v>
      </c>
      <c r="M31" s="29">
        <v>10</v>
      </c>
      <c r="N31" s="189">
        <v>0.16</v>
      </c>
      <c r="O31" s="28">
        <v>0.16</v>
      </c>
      <c r="P31" s="29" t="s">
        <v>294</v>
      </c>
      <c r="Q31" s="29" t="s">
        <v>488</v>
      </c>
      <c r="R31" s="29" t="s">
        <v>488</v>
      </c>
      <c r="S31" s="29" t="s">
        <v>488</v>
      </c>
      <c r="T31" s="29" t="s">
        <v>488</v>
      </c>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A32" s="28">
        <v>8</v>
      </c>
      <c r="B32" s="186" t="s">
        <v>555</v>
      </c>
      <c r="C32" s="186" t="s">
        <v>555</v>
      </c>
      <c r="D32" s="28" t="s">
        <v>538</v>
      </c>
      <c r="E32" s="28" t="s">
        <v>539</v>
      </c>
      <c r="F32" s="28" t="s">
        <v>540</v>
      </c>
      <c r="G32" s="28" t="s">
        <v>556</v>
      </c>
      <c r="H32" s="28" t="s">
        <v>556</v>
      </c>
      <c r="I32" s="29" t="s">
        <v>294</v>
      </c>
      <c r="J32" s="29" t="s">
        <v>542</v>
      </c>
      <c r="K32" s="29" t="s">
        <v>294</v>
      </c>
      <c r="L32" s="29">
        <v>10</v>
      </c>
      <c r="M32" s="29">
        <v>10</v>
      </c>
      <c r="N32" s="189">
        <v>0.16</v>
      </c>
      <c r="O32" s="28">
        <v>0.16</v>
      </c>
      <c r="P32" s="29" t="s">
        <v>294</v>
      </c>
      <c r="Q32" s="29" t="s">
        <v>488</v>
      </c>
      <c r="R32" s="29" t="s">
        <v>488</v>
      </c>
      <c r="S32" s="29" t="s">
        <v>488</v>
      </c>
      <c r="T32" s="29" t="s">
        <v>488</v>
      </c>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1:113" s="36" customFormat="1" x14ac:dyDescent="0.25">
      <c r="A33" s="28">
        <v>9</v>
      </c>
      <c r="B33" s="186" t="s">
        <v>557</v>
      </c>
      <c r="C33" s="186" t="s">
        <v>557</v>
      </c>
      <c r="D33" s="28" t="s">
        <v>538</v>
      </c>
      <c r="E33" s="28" t="s">
        <v>539</v>
      </c>
      <c r="F33" s="28" t="s">
        <v>540</v>
      </c>
      <c r="G33" s="28" t="s">
        <v>558</v>
      </c>
      <c r="H33" s="28" t="s">
        <v>558</v>
      </c>
      <c r="I33" s="29" t="s">
        <v>294</v>
      </c>
      <c r="J33" s="29" t="s">
        <v>542</v>
      </c>
      <c r="K33" s="29" t="s">
        <v>294</v>
      </c>
      <c r="L33" s="29">
        <v>10</v>
      </c>
      <c r="M33" s="29">
        <v>10</v>
      </c>
      <c r="N33" s="189">
        <v>0.16</v>
      </c>
      <c r="O33" s="28">
        <v>0.16</v>
      </c>
      <c r="P33" s="29" t="s">
        <v>294</v>
      </c>
      <c r="Q33" s="29" t="s">
        <v>488</v>
      </c>
      <c r="R33" s="29" t="s">
        <v>488</v>
      </c>
      <c r="S33" s="29" t="s">
        <v>488</v>
      </c>
      <c r="T33" s="29" t="s">
        <v>488</v>
      </c>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1:113" s="36" customFormat="1" x14ac:dyDescent="0.25">
      <c r="A34" s="28">
        <v>10</v>
      </c>
      <c r="B34" s="186" t="s">
        <v>559</v>
      </c>
      <c r="C34" s="186" t="s">
        <v>559</v>
      </c>
      <c r="D34" s="28" t="s">
        <v>538</v>
      </c>
      <c r="E34" s="28" t="s">
        <v>539</v>
      </c>
      <c r="F34" s="28" t="s">
        <v>540</v>
      </c>
      <c r="G34" s="28" t="s">
        <v>560</v>
      </c>
      <c r="H34" s="28" t="s">
        <v>560</v>
      </c>
      <c r="I34" s="29" t="s">
        <v>294</v>
      </c>
      <c r="J34" s="29" t="s">
        <v>542</v>
      </c>
      <c r="K34" s="29" t="s">
        <v>294</v>
      </c>
      <c r="L34" s="29">
        <v>10</v>
      </c>
      <c r="M34" s="29">
        <v>10</v>
      </c>
      <c r="N34" s="189">
        <v>0.25</v>
      </c>
      <c r="O34" s="28">
        <v>0.25</v>
      </c>
      <c r="P34" s="29" t="s">
        <v>294</v>
      </c>
      <c r="Q34" s="29" t="s">
        <v>488</v>
      </c>
      <c r="R34" s="29" t="s">
        <v>488</v>
      </c>
      <c r="S34" s="29" t="s">
        <v>488</v>
      </c>
      <c r="T34" s="29" t="s">
        <v>488</v>
      </c>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1:113" s="36" customFormat="1" x14ac:dyDescent="0.25">
      <c r="A35" s="28">
        <v>11</v>
      </c>
      <c r="B35" s="186" t="s">
        <v>561</v>
      </c>
      <c r="C35" s="186" t="s">
        <v>561</v>
      </c>
      <c r="D35" s="28" t="s">
        <v>538</v>
      </c>
      <c r="E35" s="28" t="s">
        <v>539</v>
      </c>
      <c r="F35" s="28" t="s">
        <v>540</v>
      </c>
      <c r="G35" s="28" t="s">
        <v>562</v>
      </c>
      <c r="H35" s="28" t="s">
        <v>562</v>
      </c>
      <c r="I35" s="29" t="s">
        <v>294</v>
      </c>
      <c r="J35" s="29" t="s">
        <v>542</v>
      </c>
      <c r="K35" s="29" t="s">
        <v>294</v>
      </c>
      <c r="L35" s="29">
        <v>10</v>
      </c>
      <c r="M35" s="29">
        <v>10</v>
      </c>
      <c r="N35" s="189">
        <v>0.16</v>
      </c>
      <c r="O35" s="28">
        <v>0.16</v>
      </c>
      <c r="P35" s="29" t="s">
        <v>294</v>
      </c>
      <c r="Q35" s="29" t="s">
        <v>488</v>
      </c>
      <c r="R35" s="29" t="s">
        <v>488</v>
      </c>
      <c r="S35" s="29" t="s">
        <v>488</v>
      </c>
      <c r="T35" s="29" t="s">
        <v>488</v>
      </c>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1:113" s="36" customFormat="1" x14ac:dyDescent="0.25">
      <c r="A36" s="28">
        <v>12</v>
      </c>
      <c r="B36" s="186" t="s">
        <v>563</v>
      </c>
      <c r="C36" s="186" t="s">
        <v>563</v>
      </c>
      <c r="D36" s="28" t="s">
        <v>538</v>
      </c>
      <c r="E36" s="28" t="s">
        <v>539</v>
      </c>
      <c r="F36" s="28" t="s">
        <v>540</v>
      </c>
      <c r="G36" s="28" t="s">
        <v>564</v>
      </c>
      <c r="H36" s="28" t="s">
        <v>564</v>
      </c>
      <c r="I36" s="29" t="s">
        <v>294</v>
      </c>
      <c r="J36" s="29" t="s">
        <v>542</v>
      </c>
      <c r="K36" s="29" t="s">
        <v>294</v>
      </c>
      <c r="L36" s="29">
        <v>10</v>
      </c>
      <c r="M36" s="29">
        <v>10</v>
      </c>
      <c r="N36" s="189">
        <v>0.04</v>
      </c>
      <c r="O36" s="28">
        <v>0.04</v>
      </c>
      <c r="P36" s="29" t="s">
        <v>294</v>
      </c>
      <c r="Q36" s="29" t="s">
        <v>488</v>
      </c>
      <c r="R36" s="29" t="s">
        <v>488</v>
      </c>
      <c r="S36" s="29" t="s">
        <v>488</v>
      </c>
      <c r="T36" s="29" t="s">
        <v>488</v>
      </c>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1:113" s="36" customFormat="1" x14ac:dyDescent="0.25">
      <c r="A37" s="28">
        <v>13</v>
      </c>
      <c r="B37" s="186" t="s">
        <v>565</v>
      </c>
      <c r="C37" s="186" t="s">
        <v>565</v>
      </c>
      <c r="D37" s="28" t="s">
        <v>538</v>
      </c>
      <c r="E37" s="28" t="s">
        <v>539</v>
      </c>
      <c r="F37" s="28" t="s">
        <v>540</v>
      </c>
      <c r="G37" s="28" t="s">
        <v>566</v>
      </c>
      <c r="H37" s="28" t="s">
        <v>566</v>
      </c>
      <c r="I37" s="29" t="s">
        <v>294</v>
      </c>
      <c r="J37" s="29" t="s">
        <v>542</v>
      </c>
      <c r="K37" s="29" t="s">
        <v>294</v>
      </c>
      <c r="L37" s="29">
        <v>10</v>
      </c>
      <c r="M37" s="29">
        <v>10</v>
      </c>
      <c r="N37" s="189">
        <v>0.1</v>
      </c>
      <c r="O37" s="28">
        <v>0.1</v>
      </c>
      <c r="P37" s="29" t="s">
        <v>294</v>
      </c>
      <c r="Q37" s="29" t="s">
        <v>488</v>
      </c>
      <c r="R37" s="29" t="s">
        <v>488</v>
      </c>
      <c r="S37" s="29" t="s">
        <v>488</v>
      </c>
      <c r="T37" s="29" t="s">
        <v>488</v>
      </c>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1:113" s="36" customFormat="1" x14ac:dyDescent="0.25">
      <c r="A38" s="28">
        <v>14</v>
      </c>
      <c r="B38" s="186" t="s">
        <v>567</v>
      </c>
      <c r="C38" s="186" t="s">
        <v>567</v>
      </c>
      <c r="D38" s="28" t="s">
        <v>538</v>
      </c>
      <c r="E38" s="28" t="s">
        <v>539</v>
      </c>
      <c r="F38" s="28" t="s">
        <v>540</v>
      </c>
      <c r="G38" s="28" t="s">
        <v>568</v>
      </c>
      <c r="H38" s="28" t="s">
        <v>568</v>
      </c>
      <c r="I38" s="29" t="s">
        <v>294</v>
      </c>
      <c r="J38" s="29" t="s">
        <v>542</v>
      </c>
      <c r="K38" s="29" t="s">
        <v>294</v>
      </c>
      <c r="L38" s="29">
        <v>10</v>
      </c>
      <c r="M38" s="29">
        <v>10</v>
      </c>
      <c r="N38" s="189">
        <v>0.1</v>
      </c>
      <c r="O38" s="28">
        <v>0.1</v>
      </c>
      <c r="P38" s="29" t="s">
        <v>294</v>
      </c>
      <c r="Q38" s="29" t="s">
        <v>488</v>
      </c>
      <c r="R38" s="29" t="s">
        <v>488</v>
      </c>
      <c r="S38" s="29" t="s">
        <v>488</v>
      </c>
      <c r="T38" s="29" t="s">
        <v>488</v>
      </c>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1:113" s="36" customFormat="1" x14ac:dyDescent="0.25">
      <c r="A39" s="28">
        <v>15</v>
      </c>
      <c r="B39" s="186" t="s">
        <v>569</v>
      </c>
      <c r="C39" s="186" t="s">
        <v>569</v>
      </c>
      <c r="D39" s="28" t="s">
        <v>538</v>
      </c>
      <c r="E39" s="28" t="s">
        <v>539</v>
      </c>
      <c r="F39" s="28" t="s">
        <v>540</v>
      </c>
      <c r="G39" s="28" t="s">
        <v>570</v>
      </c>
      <c r="H39" s="28" t="s">
        <v>570</v>
      </c>
      <c r="I39" s="29" t="s">
        <v>294</v>
      </c>
      <c r="J39" s="29" t="s">
        <v>542</v>
      </c>
      <c r="K39" s="29" t="s">
        <v>294</v>
      </c>
      <c r="L39" s="29">
        <v>10</v>
      </c>
      <c r="M39" s="29">
        <v>10</v>
      </c>
      <c r="N39" s="189">
        <v>0.1</v>
      </c>
      <c r="O39" s="28">
        <v>0.1</v>
      </c>
      <c r="P39" s="29" t="s">
        <v>294</v>
      </c>
      <c r="Q39" s="29" t="s">
        <v>488</v>
      </c>
      <c r="R39" s="29" t="s">
        <v>488</v>
      </c>
      <c r="S39" s="29" t="s">
        <v>488</v>
      </c>
      <c r="T39" s="29" t="s">
        <v>488</v>
      </c>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1:113" s="36" customFormat="1" x14ac:dyDescent="0.25">
      <c r="A40" s="28">
        <v>16</v>
      </c>
      <c r="B40" s="186" t="s">
        <v>571</v>
      </c>
      <c r="C40" s="186" t="s">
        <v>571</v>
      </c>
      <c r="D40" s="28" t="s">
        <v>538</v>
      </c>
      <c r="E40" s="28" t="s">
        <v>539</v>
      </c>
      <c r="F40" s="28" t="s">
        <v>540</v>
      </c>
      <c r="G40" s="28" t="s">
        <v>572</v>
      </c>
      <c r="H40" s="28" t="s">
        <v>572</v>
      </c>
      <c r="I40" s="29" t="s">
        <v>294</v>
      </c>
      <c r="J40" s="29" t="s">
        <v>542</v>
      </c>
      <c r="K40" s="29" t="s">
        <v>294</v>
      </c>
      <c r="L40" s="29">
        <v>10</v>
      </c>
      <c r="M40" s="29">
        <v>10</v>
      </c>
      <c r="N40" s="189">
        <v>0.16</v>
      </c>
      <c r="O40" s="28">
        <v>0.16</v>
      </c>
      <c r="P40" s="29" t="s">
        <v>294</v>
      </c>
      <c r="Q40" s="29" t="s">
        <v>488</v>
      </c>
      <c r="R40" s="29" t="s">
        <v>488</v>
      </c>
      <c r="S40" s="29" t="s">
        <v>488</v>
      </c>
      <c r="T40" s="29" t="s">
        <v>488</v>
      </c>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1:113" s="36" customFormat="1" x14ac:dyDescent="0.25">
      <c r="A41" s="28">
        <v>17</v>
      </c>
      <c r="B41" s="29" t="s">
        <v>294</v>
      </c>
      <c r="C41" s="186" t="s">
        <v>573</v>
      </c>
      <c r="D41" s="28" t="s">
        <v>538</v>
      </c>
      <c r="E41" s="29" t="s">
        <v>294</v>
      </c>
      <c r="F41" s="28" t="s">
        <v>540</v>
      </c>
      <c r="G41" s="28" t="s">
        <v>294</v>
      </c>
      <c r="H41" s="28" t="s">
        <v>574</v>
      </c>
      <c r="I41" s="29" t="s">
        <v>294</v>
      </c>
      <c r="J41" s="29" t="s">
        <v>542</v>
      </c>
      <c r="K41" s="29" t="s">
        <v>294</v>
      </c>
      <c r="L41" s="29" t="s">
        <v>294</v>
      </c>
      <c r="M41" s="29">
        <v>10</v>
      </c>
      <c r="N41" s="28" t="s">
        <v>294</v>
      </c>
      <c r="O41" s="28">
        <v>0.16</v>
      </c>
      <c r="P41" s="29" t="s">
        <v>294</v>
      </c>
      <c r="Q41" s="29" t="s">
        <v>488</v>
      </c>
      <c r="R41" s="29" t="s">
        <v>488</v>
      </c>
      <c r="S41" s="29" t="s">
        <v>488</v>
      </c>
      <c r="T41" s="29" t="s">
        <v>488</v>
      </c>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1:113" s="36" customFormat="1" x14ac:dyDescent="0.25">
      <c r="A42" s="28">
        <v>18</v>
      </c>
      <c r="B42" s="29" t="s">
        <v>294</v>
      </c>
      <c r="C42" s="186" t="s">
        <v>575</v>
      </c>
      <c r="D42" s="28" t="s">
        <v>538</v>
      </c>
      <c r="E42" s="29" t="s">
        <v>294</v>
      </c>
      <c r="F42" s="28" t="s">
        <v>540</v>
      </c>
      <c r="G42" s="28" t="s">
        <v>294</v>
      </c>
      <c r="H42" s="28" t="s">
        <v>576</v>
      </c>
      <c r="I42" s="29" t="s">
        <v>294</v>
      </c>
      <c r="J42" s="29" t="s">
        <v>542</v>
      </c>
      <c r="K42" s="29" t="s">
        <v>294</v>
      </c>
      <c r="L42" s="29" t="s">
        <v>294</v>
      </c>
      <c r="M42" s="29">
        <v>10</v>
      </c>
      <c r="N42" s="28" t="s">
        <v>294</v>
      </c>
      <c r="O42" s="28">
        <v>0.16</v>
      </c>
      <c r="P42" s="29" t="s">
        <v>294</v>
      </c>
      <c r="Q42" s="29" t="s">
        <v>488</v>
      </c>
      <c r="R42" s="29" t="s">
        <v>488</v>
      </c>
      <c r="S42" s="29" t="s">
        <v>488</v>
      </c>
      <c r="T42" s="29" t="s">
        <v>488</v>
      </c>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1:113" x14ac:dyDescent="0.25">
      <c r="A43" s="28">
        <v>19</v>
      </c>
      <c r="B43" s="29" t="s">
        <v>294</v>
      </c>
      <c r="C43" s="186" t="s">
        <v>577</v>
      </c>
      <c r="D43" s="28" t="s">
        <v>538</v>
      </c>
      <c r="E43" s="29" t="s">
        <v>294</v>
      </c>
      <c r="F43" s="28" t="s">
        <v>540</v>
      </c>
      <c r="G43" s="28" t="s">
        <v>294</v>
      </c>
      <c r="H43" s="28" t="s">
        <v>578</v>
      </c>
      <c r="I43" s="29" t="s">
        <v>294</v>
      </c>
      <c r="J43" s="29" t="s">
        <v>542</v>
      </c>
      <c r="K43" s="29" t="s">
        <v>294</v>
      </c>
      <c r="L43" s="29" t="s">
        <v>294</v>
      </c>
      <c r="M43" s="29">
        <v>10</v>
      </c>
      <c r="N43" s="28" t="s">
        <v>294</v>
      </c>
      <c r="O43" s="28">
        <v>6.3E-2</v>
      </c>
      <c r="P43" s="29" t="s">
        <v>294</v>
      </c>
      <c r="Q43" s="29" t="s">
        <v>488</v>
      </c>
      <c r="R43" s="29" t="s">
        <v>488</v>
      </c>
      <c r="S43" s="29" t="s">
        <v>488</v>
      </c>
      <c r="T43" s="29" t="s">
        <v>488</v>
      </c>
    </row>
    <row r="44" spans="1:113" x14ac:dyDescent="0.25">
      <c r="A44" s="28">
        <v>20</v>
      </c>
      <c r="B44" s="29" t="s">
        <v>294</v>
      </c>
      <c r="C44" s="186" t="s">
        <v>579</v>
      </c>
      <c r="D44" s="28" t="s">
        <v>538</v>
      </c>
      <c r="E44" s="29" t="s">
        <v>294</v>
      </c>
      <c r="F44" s="28" t="s">
        <v>540</v>
      </c>
      <c r="G44" s="28" t="s">
        <v>294</v>
      </c>
      <c r="H44" s="28" t="s">
        <v>580</v>
      </c>
      <c r="I44" s="29" t="s">
        <v>294</v>
      </c>
      <c r="J44" s="29" t="s">
        <v>542</v>
      </c>
      <c r="K44" s="29" t="s">
        <v>294</v>
      </c>
      <c r="L44" s="29" t="s">
        <v>294</v>
      </c>
      <c r="M44" s="29">
        <v>10</v>
      </c>
      <c r="N44" s="28" t="s">
        <v>294</v>
      </c>
      <c r="O44" s="28">
        <v>0.16</v>
      </c>
      <c r="P44" s="29" t="s">
        <v>294</v>
      </c>
      <c r="Q44" s="29" t="s">
        <v>488</v>
      </c>
      <c r="R44" s="29" t="s">
        <v>488</v>
      </c>
      <c r="S44" s="29" t="s">
        <v>488</v>
      </c>
      <c r="T44" s="29" t="s">
        <v>488</v>
      </c>
    </row>
    <row r="45" spans="1:113" x14ac:dyDescent="0.25">
      <c r="A45" s="28">
        <v>21</v>
      </c>
      <c r="B45" s="29" t="s">
        <v>294</v>
      </c>
      <c r="C45" s="186" t="s">
        <v>581</v>
      </c>
      <c r="D45" s="28" t="s">
        <v>538</v>
      </c>
      <c r="E45" s="29" t="s">
        <v>294</v>
      </c>
      <c r="F45" s="28" t="s">
        <v>540</v>
      </c>
      <c r="G45" s="28" t="s">
        <v>294</v>
      </c>
      <c r="H45" s="28" t="s">
        <v>582</v>
      </c>
      <c r="I45" s="29" t="s">
        <v>294</v>
      </c>
      <c r="J45" s="29" t="s">
        <v>542</v>
      </c>
      <c r="K45" s="29" t="s">
        <v>294</v>
      </c>
      <c r="L45" s="29" t="s">
        <v>294</v>
      </c>
      <c r="M45" s="29">
        <v>10</v>
      </c>
      <c r="N45" s="28" t="s">
        <v>294</v>
      </c>
      <c r="O45" s="28">
        <v>0.16</v>
      </c>
      <c r="P45" s="29" t="s">
        <v>294</v>
      </c>
      <c r="Q45" s="29" t="s">
        <v>488</v>
      </c>
      <c r="R45" s="29" t="s">
        <v>488</v>
      </c>
      <c r="S45" s="29" t="s">
        <v>488</v>
      </c>
      <c r="T45" s="29" t="s">
        <v>488</v>
      </c>
    </row>
    <row r="46" spans="1:113" x14ac:dyDescent="0.25">
      <c r="A46" s="28">
        <v>22</v>
      </c>
      <c r="B46" s="29" t="s">
        <v>294</v>
      </c>
      <c r="C46" s="186" t="s">
        <v>583</v>
      </c>
      <c r="D46" s="28" t="s">
        <v>538</v>
      </c>
      <c r="E46" s="29" t="s">
        <v>294</v>
      </c>
      <c r="F46" s="28" t="s">
        <v>540</v>
      </c>
      <c r="G46" s="28" t="s">
        <v>294</v>
      </c>
      <c r="H46" s="28" t="s">
        <v>584</v>
      </c>
      <c r="I46" s="29" t="s">
        <v>294</v>
      </c>
      <c r="J46" s="29" t="s">
        <v>542</v>
      </c>
      <c r="K46" s="29" t="s">
        <v>294</v>
      </c>
      <c r="L46" s="29" t="s">
        <v>294</v>
      </c>
      <c r="M46" s="29">
        <v>10</v>
      </c>
      <c r="N46" s="28" t="s">
        <v>294</v>
      </c>
      <c r="O46" s="28">
        <v>0.16</v>
      </c>
      <c r="P46" s="29" t="s">
        <v>294</v>
      </c>
      <c r="Q46" s="29" t="s">
        <v>488</v>
      </c>
      <c r="R46" s="29" t="s">
        <v>488</v>
      </c>
      <c r="S46" s="29" t="s">
        <v>488</v>
      </c>
      <c r="T46" s="29" t="s">
        <v>488</v>
      </c>
    </row>
    <row r="47" spans="1:113" x14ac:dyDescent="0.25">
      <c r="A47" s="28">
        <v>23</v>
      </c>
      <c r="B47" s="29" t="s">
        <v>294</v>
      </c>
      <c r="C47" s="186" t="s">
        <v>585</v>
      </c>
      <c r="D47" s="28" t="s">
        <v>538</v>
      </c>
      <c r="E47" s="29" t="s">
        <v>294</v>
      </c>
      <c r="F47" s="28" t="s">
        <v>540</v>
      </c>
      <c r="G47" s="28" t="s">
        <v>294</v>
      </c>
      <c r="H47" s="28" t="s">
        <v>586</v>
      </c>
      <c r="I47" s="29" t="s">
        <v>294</v>
      </c>
      <c r="J47" s="29" t="s">
        <v>542</v>
      </c>
      <c r="K47" s="29" t="s">
        <v>294</v>
      </c>
      <c r="L47" s="29" t="s">
        <v>294</v>
      </c>
      <c r="M47" s="29">
        <v>10</v>
      </c>
      <c r="N47" s="28" t="s">
        <v>294</v>
      </c>
      <c r="O47" s="28">
        <v>6.3E-2</v>
      </c>
      <c r="P47" s="29" t="s">
        <v>294</v>
      </c>
      <c r="Q47" s="29" t="s">
        <v>488</v>
      </c>
      <c r="R47" s="29" t="s">
        <v>488</v>
      </c>
      <c r="S47" s="29" t="s">
        <v>488</v>
      </c>
      <c r="T47" s="29" t="s">
        <v>488</v>
      </c>
    </row>
    <row r="48" spans="1:113" x14ac:dyDescent="0.25">
      <c r="A48" s="28">
        <v>24</v>
      </c>
      <c r="B48" s="29" t="s">
        <v>294</v>
      </c>
      <c r="C48" s="186" t="s">
        <v>587</v>
      </c>
      <c r="D48" s="28" t="s">
        <v>538</v>
      </c>
      <c r="E48" s="29" t="s">
        <v>294</v>
      </c>
      <c r="F48" s="28" t="s">
        <v>540</v>
      </c>
      <c r="G48" s="28" t="s">
        <v>294</v>
      </c>
      <c r="H48" s="28" t="s">
        <v>588</v>
      </c>
      <c r="I48" s="29" t="s">
        <v>294</v>
      </c>
      <c r="J48" s="29" t="s">
        <v>542</v>
      </c>
      <c r="K48" s="29" t="s">
        <v>294</v>
      </c>
      <c r="L48" s="29" t="s">
        <v>294</v>
      </c>
      <c r="M48" s="29">
        <v>10</v>
      </c>
      <c r="N48" s="28" t="s">
        <v>294</v>
      </c>
      <c r="O48" s="28">
        <v>0.16</v>
      </c>
      <c r="P48" s="29" t="s">
        <v>294</v>
      </c>
      <c r="Q48" s="29" t="s">
        <v>488</v>
      </c>
      <c r="R48" s="29" t="s">
        <v>488</v>
      </c>
      <c r="S48" s="29" t="s">
        <v>488</v>
      </c>
      <c r="T48" s="29" t="s">
        <v>488</v>
      </c>
    </row>
    <row r="49" spans="1:20" x14ac:dyDescent="0.25">
      <c r="A49" s="28">
        <v>25</v>
      </c>
      <c r="B49" s="29" t="s">
        <v>294</v>
      </c>
      <c r="C49" s="186" t="s">
        <v>589</v>
      </c>
      <c r="D49" s="28" t="s">
        <v>538</v>
      </c>
      <c r="E49" s="29" t="s">
        <v>294</v>
      </c>
      <c r="F49" s="28" t="s">
        <v>540</v>
      </c>
      <c r="G49" s="28" t="s">
        <v>294</v>
      </c>
      <c r="H49" s="28" t="s">
        <v>590</v>
      </c>
      <c r="I49" s="29" t="s">
        <v>294</v>
      </c>
      <c r="J49" s="29" t="s">
        <v>542</v>
      </c>
      <c r="K49" s="29" t="s">
        <v>294</v>
      </c>
      <c r="L49" s="29" t="s">
        <v>294</v>
      </c>
      <c r="M49" s="29">
        <v>10</v>
      </c>
      <c r="N49" s="28" t="s">
        <v>294</v>
      </c>
      <c r="O49" s="28">
        <v>0.16</v>
      </c>
      <c r="P49" s="29" t="s">
        <v>294</v>
      </c>
      <c r="Q49" s="29" t="s">
        <v>488</v>
      </c>
      <c r="R49" s="29" t="s">
        <v>488</v>
      </c>
      <c r="S49" s="29" t="s">
        <v>488</v>
      </c>
      <c r="T49" s="29" t="s">
        <v>488</v>
      </c>
    </row>
    <row r="50" spans="1:20" x14ac:dyDescent="0.25">
      <c r="A50" s="28">
        <v>26</v>
      </c>
      <c r="B50" s="29" t="s">
        <v>294</v>
      </c>
      <c r="C50" s="186" t="s">
        <v>591</v>
      </c>
      <c r="D50" s="28" t="s">
        <v>538</v>
      </c>
      <c r="E50" s="29" t="s">
        <v>294</v>
      </c>
      <c r="F50" s="28" t="s">
        <v>540</v>
      </c>
      <c r="G50" s="28" t="s">
        <v>294</v>
      </c>
      <c r="H50" s="28" t="s">
        <v>592</v>
      </c>
      <c r="I50" s="29" t="s">
        <v>294</v>
      </c>
      <c r="J50" s="29" t="s">
        <v>542</v>
      </c>
      <c r="K50" s="29" t="s">
        <v>294</v>
      </c>
      <c r="L50" s="29" t="s">
        <v>294</v>
      </c>
      <c r="M50" s="29">
        <v>10</v>
      </c>
      <c r="N50" s="28" t="s">
        <v>294</v>
      </c>
      <c r="O50" s="28">
        <v>6.3E-2</v>
      </c>
      <c r="P50" s="29" t="s">
        <v>294</v>
      </c>
      <c r="Q50" s="29" t="s">
        <v>488</v>
      </c>
      <c r="R50" s="29" t="s">
        <v>488</v>
      </c>
      <c r="S50" s="29" t="s">
        <v>488</v>
      </c>
      <c r="T50" s="29" t="s">
        <v>488</v>
      </c>
    </row>
    <row r="52" spans="1:20" x14ac:dyDescent="0.25">
      <c r="A52" s="32"/>
      <c r="B52" s="33"/>
      <c r="C52" s="33"/>
      <c r="D52" s="32"/>
      <c r="E52" s="32"/>
      <c r="F52" s="32"/>
      <c r="G52" s="32"/>
      <c r="H52" s="32"/>
      <c r="I52" s="32"/>
      <c r="J52" s="32"/>
      <c r="K52" s="33"/>
      <c r="L52" s="32"/>
      <c r="M52" s="32"/>
      <c r="N52" s="32"/>
      <c r="O52" s="32"/>
      <c r="P52" s="32"/>
      <c r="Q52" s="32"/>
      <c r="R52" s="32"/>
      <c r="S52" s="32"/>
      <c r="T52" s="32"/>
    </row>
    <row r="53" spans="1:20" x14ac:dyDescent="0.25">
      <c r="A53" s="32"/>
      <c r="B53" s="34" t="s">
        <v>305</v>
      </c>
      <c r="C53" s="34"/>
      <c r="D53" s="34"/>
      <c r="E53" s="34"/>
      <c r="F53" s="34"/>
      <c r="G53" s="34"/>
      <c r="H53" s="34"/>
      <c r="I53" s="34"/>
      <c r="J53" s="34"/>
      <c r="K53" s="34"/>
      <c r="L53" s="34"/>
      <c r="M53" s="34"/>
      <c r="N53" s="34"/>
      <c r="O53" s="34"/>
      <c r="P53" s="34"/>
      <c r="Q53" s="34"/>
      <c r="R53" s="34"/>
      <c r="S53" s="32"/>
      <c r="T53" s="32"/>
    </row>
    <row r="54" spans="1:20" x14ac:dyDescent="0.25">
      <c r="B54" s="277" t="s">
        <v>306</v>
      </c>
      <c r="C54" s="277"/>
      <c r="D54" s="277"/>
      <c r="E54" s="277"/>
      <c r="F54" s="277"/>
      <c r="G54" s="277"/>
      <c r="H54" s="277"/>
      <c r="I54" s="277"/>
      <c r="J54" s="277"/>
      <c r="K54" s="277"/>
      <c r="L54" s="277"/>
      <c r="M54" s="277"/>
      <c r="N54" s="277"/>
      <c r="O54" s="277"/>
      <c r="P54" s="277"/>
      <c r="Q54" s="277"/>
      <c r="R54" s="277"/>
    </row>
    <row r="55" spans="1:20" x14ac:dyDescent="0.25">
      <c r="B55" s="34"/>
      <c r="C55" s="34"/>
      <c r="D55" s="34"/>
      <c r="E55" s="34"/>
      <c r="F55" s="34"/>
      <c r="G55" s="34"/>
      <c r="H55" s="34"/>
      <c r="I55" s="34"/>
      <c r="J55" s="34"/>
      <c r="K55" s="34"/>
      <c r="L55" s="34"/>
      <c r="M55" s="34"/>
      <c r="N55" s="34"/>
      <c r="O55" s="34"/>
      <c r="P55" s="34"/>
      <c r="Q55" s="34"/>
      <c r="R55" s="34"/>
      <c r="S55" s="34"/>
      <c r="T55" s="34"/>
    </row>
    <row r="56" spans="1:20" x14ac:dyDescent="0.25">
      <c r="B56" s="35" t="s">
        <v>307</v>
      </c>
      <c r="C56" s="35"/>
      <c r="D56" s="35"/>
      <c r="E56" s="35"/>
      <c r="F56" s="36"/>
      <c r="G56" s="36"/>
      <c r="H56" s="35"/>
      <c r="I56" s="35"/>
      <c r="J56" s="35"/>
      <c r="K56" s="35"/>
      <c r="L56" s="35"/>
      <c r="M56" s="35"/>
      <c r="N56" s="35"/>
      <c r="O56" s="35"/>
      <c r="P56" s="35"/>
      <c r="Q56" s="35"/>
      <c r="R56" s="35"/>
      <c r="S56" s="37"/>
      <c r="T56" s="37"/>
    </row>
    <row r="57" spans="1:20" x14ac:dyDescent="0.25">
      <c r="B57" s="35" t="s">
        <v>308</v>
      </c>
      <c r="C57" s="35"/>
      <c r="D57" s="35"/>
      <c r="E57" s="35"/>
      <c r="F57" s="36"/>
      <c r="G57" s="36"/>
      <c r="H57" s="35"/>
      <c r="I57" s="35"/>
      <c r="J57" s="35"/>
      <c r="K57" s="35"/>
      <c r="L57" s="35"/>
      <c r="M57" s="35"/>
      <c r="N57" s="35"/>
      <c r="O57" s="35"/>
      <c r="P57" s="35"/>
      <c r="Q57" s="35"/>
      <c r="R57" s="35"/>
    </row>
    <row r="58" spans="1:20" x14ac:dyDescent="0.25">
      <c r="A58" s="36"/>
      <c r="B58" s="35" t="s">
        <v>309</v>
      </c>
      <c r="C58" s="35"/>
      <c r="D58" s="35"/>
      <c r="E58" s="35"/>
      <c r="F58" s="36"/>
      <c r="G58" s="36"/>
      <c r="H58" s="35"/>
      <c r="I58" s="35"/>
      <c r="J58" s="35"/>
      <c r="K58" s="35"/>
      <c r="L58" s="35"/>
      <c r="M58" s="35"/>
      <c r="N58" s="35"/>
      <c r="O58" s="35"/>
      <c r="P58" s="35"/>
      <c r="Q58" s="35"/>
      <c r="R58" s="35"/>
      <c r="S58" s="36"/>
      <c r="T58" s="36"/>
    </row>
    <row r="59" spans="1:20" x14ac:dyDescent="0.25">
      <c r="A59" s="36"/>
      <c r="B59" s="35" t="s">
        <v>310</v>
      </c>
      <c r="C59" s="35"/>
      <c r="D59" s="35"/>
      <c r="E59" s="35"/>
      <c r="F59" s="36"/>
      <c r="G59" s="36"/>
      <c r="H59" s="35"/>
      <c r="I59" s="35"/>
      <c r="J59" s="35"/>
      <c r="K59" s="35"/>
      <c r="L59" s="35"/>
      <c r="M59" s="35"/>
      <c r="N59" s="35"/>
      <c r="O59" s="35"/>
      <c r="P59" s="35"/>
      <c r="Q59" s="35"/>
      <c r="R59" s="35"/>
      <c r="S59" s="35"/>
      <c r="T59" s="35"/>
    </row>
    <row r="60" spans="1:20" x14ac:dyDescent="0.25">
      <c r="A60" s="36"/>
      <c r="B60" s="35" t="s">
        <v>311</v>
      </c>
      <c r="C60" s="35"/>
      <c r="D60" s="35"/>
      <c r="E60" s="35"/>
      <c r="F60" s="36"/>
      <c r="G60" s="36"/>
      <c r="H60" s="35"/>
      <c r="I60" s="35"/>
      <c r="J60" s="35"/>
      <c r="K60" s="35"/>
      <c r="L60" s="35"/>
      <c r="M60" s="35"/>
      <c r="N60" s="35"/>
      <c r="O60" s="35"/>
      <c r="P60" s="35"/>
      <c r="Q60" s="35"/>
      <c r="R60" s="35"/>
      <c r="S60" s="35"/>
      <c r="T60" s="35"/>
    </row>
    <row r="61" spans="1:20" x14ac:dyDescent="0.25">
      <c r="A61" s="36"/>
      <c r="B61" s="35" t="s">
        <v>312</v>
      </c>
      <c r="C61" s="35"/>
      <c r="D61" s="35"/>
      <c r="E61" s="35"/>
      <c r="F61" s="36"/>
      <c r="G61" s="36"/>
      <c r="H61" s="35"/>
      <c r="I61" s="35"/>
      <c r="J61" s="35"/>
      <c r="K61" s="35"/>
      <c r="L61" s="35"/>
      <c r="M61" s="35"/>
      <c r="N61" s="35"/>
      <c r="O61" s="35"/>
      <c r="P61" s="35"/>
      <c r="Q61" s="35"/>
      <c r="R61" s="35"/>
      <c r="S61" s="35"/>
      <c r="T61" s="35"/>
    </row>
    <row r="62" spans="1:20" x14ac:dyDescent="0.25">
      <c r="A62" s="36"/>
      <c r="B62" s="35" t="s">
        <v>313</v>
      </c>
      <c r="C62" s="35"/>
      <c r="D62" s="35"/>
      <c r="E62" s="35"/>
      <c r="F62" s="36"/>
      <c r="G62" s="36"/>
      <c r="H62" s="35"/>
      <c r="I62" s="35"/>
      <c r="J62" s="35"/>
      <c r="K62" s="35"/>
      <c r="L62" s="35"/>
      <c r="M62" s="35"/>
      <c r="N62" s="35"/>
      <c r="O62" s="35"/>
      <c r="P62" s="35"/>
      <c r="Q62" s="35"/>
      <c r="R62" s="35"/>
      <c r="S62" s="35"/>
      <c r="T62" s="35"/>
    </row>
    <row r="63" spans="1:20" x14ac:dyDescent="0.25">
      <c r="A63" s="36"/>
      <c r="B63" s="35" t="s">
        <v>314</v>
      </c>
      <c r="C63" s="35"/>
      <c r="D63" s="35"/>
      <c r="E63" s="35"/>
      <c r="F63" s="36"/>
      <c r="G63" s="36"/>
      <c r="H63" s="35"/>
      <c r="I63" s="35"/>
      <c r="J63" s="35"/>
      <c r="K63" s="35"/>
      <c r="L63" s="35"/>
      <c r="M63" s="35"/>
      <c r="N63" s="35"/>
      <c r="O63" s="35"/>
      <c r="P63" s="35"/>
      <c r="Q63" s="35"/>
      <c r="R63" s="35"/>
      <c r="S63" s="35"/>
      <c r="T63" s="35"/>
    </row>
    <row r="64" spans="1:20" x14ac:dyDescent="0.25">
      <c r="A64" s="36"/>
      <c r="B64" s="35" t="s">
        <v>315</v>
      </c>
      <c r="C64" s="35"/>
      <c r="D64" s="35"/>
      <c r="E64" s="35"/>
      <c r="F64" s="36"/>
      <c r="G64" s="36"/>
      <c r="H64" s="35"/>
      <c r="I64" s="35"/>
      <c r="J64" s="35"/>
      <c r="K64" s="35"/>
      <c r="L64" s="35"/>
      <c r="M64" s="35"/>
      <c r="N64" s="35"/>
      <c r="O64" s="35"/>
      <c r="P64" s="35"/>
      <c r="Q64" s="35"/>
      <c r="R64" s="35"/>
      <c r="S64" s="35"/>
      <c r="T64" s="35"/>
    </row>
    <row r="65" spans="1:20" x14ac:dyDescent="0.25">
      <c r="A65" s="36"/>
      <c r="B65" s="35" t="s">
        <v>316</v>
      </c>
      <c r="C65" s="35"/>
      <c r="D65" s="35"/>
      <c r="E65" s="35"/>
      <c r="F65" s="36"/>
      <c r="G65" s="36"/>
      <c r="H65" s="35"/>
      <c r="I65" s="35"/>
      <c r="J65" s="35"/>
      <c r="K65" s="35"/>
      <c r="L65" s="35"/>
      <c r="M65" s="35"/>
      <c r="N65" s="35"/>
      <c r="O65" s="35"/>
      <c r="P65" s="35"/>
      <c r="Q65" s="35"/>
      <c r="R65" s="35"/>
      <c r="S65" s="35"/>
      <c r="T65" s="35"/>
    </row>
    <row r="66" spans="1:20" x14ac:dyDescent="0.25">
      <c r="A66" s="36"/>
      <c r="B66" s="36"/>
      <c r="C66" s="36"/>
      <c r="D66" s="36"/>
      <c r="E66" s="36"/>
      <c r="F66" s="36"/>
      <c r="G66" s="36"/>
      <c r="H66" s="36"/>
      <c r="I66" s="36"/>
      <c r="J66" s="36"/>
      <c r="K66" s="36"/>
      <c r="L66" s="36"/>
      <c r="M66" s="36"/>
      <c r="N66" s="36"/>
      <c r="O66" s="36"/>
      <c r="P66" s="36"/>
      <c r="Q66" s="35"/>
      <c r="R66" s="35"/>
      <c r="S66" s="35"/>
      <c r="T66" s="35"/>
    </row>
    <row r="67" spans="1:20" x14ac:dyDescent="0.25">
      <c r="A67" s="36"/>
      <c r="B67" s="36"/>
      <c r="C67" s="36"/>
      <c r="D67" s="36"/>
      <c r="E67" s="36"/>
      <c r="F67" s="36"/>
      <c r="G67" s="36"/>
      <c r="H67" s="36"/>
      <c r="I67" s="36"/>
      <c r="J67" s="36"/>
      <c r="K67" s="36"/>
      <c r="L67" s="36"/>
      <c r="M67" s="36"/>
      <c r="N67" s="36"/>
      <c r="O67" s="36"/>
      <c r="P67" s="36"/>
      <c r="Q67" s="35"/>
      <c r="R67" s="35"/>
      <c r="S67" s="35"/>
      <c r="T67" s="35"/>
    </row>
  </sheetData>
  <mergeCells count="29">
    <mergeCell ref="B54:R54"/>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1"/>
  <sheetViews>
    <sheetView view="pageBreakPreview" topLeftCell="I4" zoomScale="55" zoomScaleNormal="100" zoomScaleSheetLayoutView="55" workbookViewId="0">
      <selection activeCell="A25" sqref="A25:AA71"/>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41" t="str">
        <f>'1. паспорт местоположение'!$A$5</f>
        <v>Год раскрытия информации: 2025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45" t="s">
        <v>5</v>
      </c>
      <c r="F7" s="245"/>
      <c r="G7" s="245"/>
      <c r="H7" s="245"/>
      <c r="I7" s="245"/>
      <c r="J7" s="245"/>
      <c r="K7" s="245"/>
      <c r="L7" s="245"/>
      <c r="M7" s="245"/>
      <c r="N7" s="245"/>
      <c r="O7" s="245"/>
      <c r="P7" s="245"/>
      <c r="Q7" s="245"/>
      <c r="R7" s="245"/>
      <c r="S7" s="245"/>
      <c r="T7" s="245"/>
      <c r="U7" s="245"/>
      <c r="V7" s="245"/>
      <c r="W7" s="245"/>
      <c r="X7" s="245"/>
      <c r="Y7" s="245"/>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46" t="s">
        <v>264</v>
      </c>
      <c r="F9" s="246"/>
      <c r="G9" s="246"/>
      <c r="H9" s="246"/>
      <c r="I9" s="246"/>
      <c r="J9" s="246"/>
      <c r="K9" s="246"/>
      <c r="L9" s="246"/>
      <c r="M9" s="246"/>
      <c r="N9" s="246"/>
      <c r="O9" s="246"/>
      <c r="P9" s="246"/>
      <c r="Q9" s="246"/>
      <c r="R9" s="246"/>
      <c r="S9" s="246"/>
      <c r="T9" s="246"/>
      <c r="U9" s="246"/>
      <c r="V9" s="246"/>
      <c r="W9" s="246"/>
      <c r="X9" s="246"/>
      <c r="Y9" s="246"/>
    </row>
    <row r="10" spans="1:27" s="78" customFormat="1" ht="18.75" customHeight="1" x14ac:dyDescent="0.2">
      <c r="E10" s="251" t="s">
        <v>4</v>
      </c>
      <c r="F10" s="251"/>
      <c r="G10" s="251"/>
      <c r="H10" s="251"/>
      <c r="I10" s="251"/>
      <c r="J10" s="251"/>
      <c r="K10" s="251"/>
      <c r="L10" s="251"/>
      <c r="M10" s="251"/>
      <c r="N10" s="251"/>
      <c r="O10" s="251"/>
      <c r="P10" s="251"/>
      <c r="Q10" s="251"/>
      <c r="R10" s="251"/>
      <c r="S10" s="251"/>
      <c r="T10" s="251"/>
      <c r="U10" s="251"/>
      <c r="V10" s="251"/>
      <c r="W10" s="251"/>
      <c r="X10" s="251"/>
      <c r="Y10" s="251"/>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46" t="str">
        <f>'1. паспорт местоположение'!$A$12</f>
        <v>L_Che376</v>
      </c>
      <c r="F12" s="246"/>
      <c r="G12" s="246"/>
      <c r="H12" s="246"/>
      <c r="I12" s="246"/>
      <c r="J12" s="246"/>
      <c r="K12" s="246"/>
      <c r="L12" s="246"/>
      <c r="M12" s="246"/>
      <c r="N12" s="246"/>
      <c r="O12" s="246"/>
      <c r="P12" s="246"/>
      <c r="Q12" s="246"/>
      <c r="R12" s="246"/>
      <c r="S12" s="246"/>
      <c r="T12" s="246"/>
      <c r="U12" s="246"/>
      <c r="V12" s="246"/>
      <c r="W12" s="246"/>
      <c r="X12" s="246"/>
      <c r="Y12" s="246"/>
    </row>
    <row r="13" spans="1:27" s="78" customFormat="1" ht="18.75" customHeight="1" x14ac:dyDescent="0.2">
      <c r="E13" s="251" t="s">
        <v>3</v>
      </c>
      <c r="F13" s="251"/>
      <c r="G13" s="251"/>
      <c r="H13" s="251"/>
      <c r="I13" s="251"/>
      <c r="J13" s="251"/>
      <c r="K13" s="251"/>
      <c r="L13" s="251"/>
      <c r="M13" s="251"/>
      <c r="N13" s="251"/>
      <c r="O13" s="251"/>
      <c r="P13" s="251"/>
      <c r="Q13" s="251"/>
      <c r="R13" s="251"/>
      <c r="S13" s="251"/>
      <c r="T13" s="251"/>
      <c r="U13" s="251"/>
      <c r="V13" s="251"/>
      <c r="W13" s="251"/>
      <c r="X13" s="251"/>
      <c r="Y13" s="251"/>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F15" s="252"/>
      <c r="G15" s="252"/>
      <c r="H15" s="252"/>
      <c r="I15" s="252"/>
      <c r="J15" s="252"/>
      <c r="K15" s="252"/>
      <c r="L15" s="252"/>
      <c r="M15" s="252"/>
      <c r="N15" s="252"/>
      <c r="O15" s="252"/>
      <c r="P15" s="252"/>
      <c r="Q15" s="252"/>
      <c r="R15" s="252"/>
      <c r="S15" s="252"/>
      <c r="T15" s="252"/>
      <c r="U15" s="252"/>
      <c r="V15" s="252"/>
      <c r="W15" s="252"/>
      <c r="X15" s="252"/>
      <c r="Y15" s="252"/>
    </row>
    <row r="16" spans="1:27" s="25" customFormat="1" ht="15" customHeight="1" x14ac:dyDescent="0.2">
      <c r="E16" s="251" t="s">
        <v>2</v>
      </c>
      <c r="F16" s="251"/>
      <c r="G16" s="251"/>
      <c r="H16" s="251"/>
      <c r="I16" s="251"/>
      <c r="J16" s="251"/>
      <c r="K16" s="251"/>
      <c r="L16" s="251"/>
      <c r="M16" s="251"/>
      <c r="N16" s="251"/>
      <c r="O16" s="251"/>
      <c r="P16" s="251"/>
      <c r="Q16" s="251"/>
      <c r="R16" s="251"/>
      <c r="S16" s="251"/>
      <c r="T16" s="251"/>
      <c r="U16" s="251"/>
      <c r="V16" s="251"/>
      <c r="W16" s="251"/>
      <c r="X16" s="251"/>
      <c r="Y16" s="251"/>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244</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26" customFormat="1" ht="21" customHeight="1" x14ac:dyDescent="0.25"/>
    <row r="21" spans="1:27" ht="15.75" customHeight="1" x14ac:dyDescent="0.25">
      <c r="A21" s="273" t="s">
        <v>1</v>
      </c>
      <c r="B21" s="269" t="s">
        <v>249</v>
      </c>
      <c r="C21" s="270"/>
      <c r="D21" s="269" t="s">
        <v>251</v>
      </c>
      <c r="E21" s="270"/>
      <c r="F21" s="261" t="s">
        <v>29</v>
      </c>
      <c r="G21" s="262"/>
      <c r="H21" s="262"/>
      <c r="I21" s="278"/>
      <c r="J21" s="273" t="s">
        <v>252</v>
      </c>
      <c r="K21" s="269" t="s">
        <v>253</v>
      </c>
      <c r="L21" s="270"/>
      <c r="M21" s="269" t="s">
        <v>254</v>
      </c>
      <c r="N21" s="270"/>
      <c r="O21" s="269" t="s">
        <v>243</v>
      </c>
      <c r="P21" s="270"/>
      <c r="Q21" s="269" t="s">
        <v>41</v>
      </c>
      <c r="R21" s="270"/>
      <c r="S21" s="273" t="s">
        <v>40</v>
      </c>
      <c r="T21" s="273" t="s">
        <v>255</v>
      </c>
      <c r="U21" s="273" t="s">
        <v>250</v>
      </c>
      <c r="V21" s="269" t="s">
        <v>39</v>
      </c>
      <c r="W21" s="270"/>
      <c r="X21" s="261" t="s">
        <v>36</v>
      </c>
      <c r="Y21" s="262"/>
      <c r="Z21" s="261" t="s">
        <v>35</v>
      </c>
      <c r="AA21" s="262"/>
    </row>
    <row r="22" spans="1:27" ht="216" customHeight="1" x14ac:dyDescent="0.25">
      <c r="A22" s="274"/>
      <c r="B22" s="271"/>
      <c r="C22" s="272"/>
      <c r="D22" s="271"/>
      <c r="E22" s="272"/>
      <c r="F22" s="261" t="s">
        <v>38</v>
      </c>
      <c r="G22" s="278"/>
      <c r="H22" s="261" t="s">
        <v>37</v>
      </c>
      <c r="I22" s="278"/>
      <c r="J22" s="275"/>
      <c r="K22" s="271"/>
      <c r="L22" s="272"/>
      <c r="M22" s="271"/>
      <c r="N22" s="272"/>
      <c r="O22" s="271"/>
      <c r="P22" s="272"/>
      <c r="Q22" s="271"/>
      <c r="R22" s="272"/>
      <c r="S22" s="275"/>
      <c r="T22" s="275"/>
      <c r="U22" s="275"/>
      <c r="V22" s="271"/>
      <c r="W22" s="272"/>
      <c r="X22" s="27" t="s">
        <v>34</v>
      </c>
      <c r="Y22" s="27" t="s">
        <v>242</v>
      </c>
      <c r="Z22" s="27" t="s">
        <v>33</v>
      </c>
      <c r="AA22" s="27" t="s">
        <v>32</v>
      </c>
    </row>
    <row r="23" spans="1:27" ht="60" customHeight="1" x14ac:dyDescent="0.25">
      <c r="A23" s="275"/>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28">
        <v>1</v>
      </c>
      <c r="B25" s="186" t="s">
        <v>483</v>
      </c>
      <c r="C25" s="186" t="s">
        <v>483</v>
      </c>
      <c r="D25" s="186" t="s">
        <v>483</v>
      </c>
      <c r="E25" s="186" t="s">
        <v>483</v>
      </c>
      <c r="F25" s="29">
        <v>0.4</v>
      </c>
      <c r="G25" s="29">
        <v>0.4</v>
      </c>
      <c r="H25" s="28">
        <v>0.4</v>
      </c>
      <c r="I25" s="28">
        <v>0.4</v>
      </c>
      <c r="J25" s="29" t="s">
        <v>294</v>
      </c>
      <c r="K25" s="29">
        <v>1</v>
      </c>
      <c r="L25" s="29">
        <v>1</v>
      </c>
      <c r="M25" s="29" t="s">
        <v>484</v>
      </c>
      <c r="N25" s="29" t="s">
        <v>485</v>
      </c>
      <c r="O25" s="29" t="s">
        <v>486</v>
      </c>
      <c r="P25" s="29" t="s">
        <v>486</v>
      </c>
      <c r="Q25" s="29">
        <v>3.9079999999999999</v>
      </c>
      <c r="R25" s="29">
        <v>3.9079999999999999</v>
      </c>
      <c r="S25" s="28">
        <v>2021</v>
      </c>
      <c r="T25" s="29" t="s">
        <v>294</v>
      </c>
      <c r="U25" s="29" t="s">
        <v>294</v>
      </c>
      <c r="V25" s="29" t="s">
        <v>487</v>
      </c>
      <c r="W25" s="29" t="s">
        <v>487</v>
      </c>
      <c r="X25" s="29" t="s">
        <v>488</v>
      </c>
      <c r="Y25" s="29" t="s">
        <v>488</v>
      </c>
      <c r="Z25" s="29" t="s">
        <v>488</v>
      </c>
      <c r="AA25" s="29" t="s">
        <v>488</v>
      </c>
    </row>
    <row r="26" spans="1:27" x14ac:dyDescent="0.25">
      <c r="A26" s="28">
        <v>2</v>
      </c>
      <c r="B26" s="186" t="s">
        <v>489</v>
      </c>
      <c r="C26" s="186" t="s">
        <v>489</v>
      </c>
      <c r="D26" s="186" t="s">
        <v>489</v>
      </c>
      <c r="E26" s="186" t="s">
        <v>489</v>
      </c>
      <c r="F26" s="29">
        <v>0.4</v>
      </c>
      <c r="G26" s="29">
        <v>0.4</v>
      </c>
      <c r="H26" s="28">
        <v>0.4</v>
      </c>
      <c r="I26" s="28">
        <v>0.4</v>
      </c>
      <c r="J26" s="29" t="s">
        <v>294</v>
      </c>
      <c r="K26" s="29">
        <v>1</v>
      </c>
      <c r="L26" s="29">
        <v>1</v>
      </c>
      <c r="M26" s="29" t="s">
        <v>484</v>
      </c>
      <c r="N26" s="29" t="s">
        <v>485</v>
      </c>
      <c r="O26" s="29" t="s">
        <v>486</v>
      </c>
      <c r="P26" s="29" t="s">
        <v>486</v>
      </c>
      <c r="Q26" s="29">
        <v>2.073</v>
      </c>
      <c r="R26" s="29">
        <v>2.073</v>
      </c>
      <c r="S26" s="28">
        <v>2021</v>
      </c>
      <c r="T26" s="29" t="s">
        <v>294</v>
      </c>
      <c r="U26" s="29" t="s">
        <v>294</v>
      </c>
      <c r="V26" s="29" t="s">
        <v>487</v>
      </c>
      <c r="W26" s="29" t="s">
        <v>487</v>
      </c>
      <c r="X26" s="29" t="s">
        <v>488</v>
      </c>
      <c r="Y26" s="29" t="s">
        <v>488</v>
      </c>
      <c r="Z26" s="29" t="s">
        <v>488</v>
      </c>
      <c r="AA26" s="29" t="s">
        <v>488</v>
      </c>
    </row>
    <row r="27" spans="1:27" s="32" customFormat="1" x14ac:dyDescent="0.2">
      <c r="A27" s="28">
        <v>3</v>
      </c>
      <c r="B27" s="186" t="s">
        <v>490</v>
      </c>
      <c r="C27" s="186" t="s">
        <v>490</v>
      </c>
      <c r="D27" s="186" t="s">
        <v>490</v>
      </c>
      <c r="E27" s="186" t="s">
        <v>490</v>
      </c>
      <c r="F27" s="29">
        <v>0.4</v>
      </c>
      <c r="G27" s="29">
        <v>0.4</v>
      </c>
      <c r="H27" s="28">
        <v>0.4</v>
      </c>
      <c r="I27" s="28">
        <v>0.4</v>
      </c>
      <c r="J27" s="29" t="s">
        <v>294</v>
      </c>
      <c r="K27" s="29">
        <v>1</v>
      </c>
      <c r="L27" s="29">
        <v>1</v>
      </c>
      <c r="M27" s="29" t="s">
        <v>484</v>
      </c>
      <c r="N27" s="29" t="s">
        <v>485</v>
      </c>
      <c r="O27" s="29" t="s">
        <v>486</v>
      </c>
      <c r="P27" s="29" t="s">
        <v>486</v>
      </c>
      <c r="Q27" s="29">
        <v>2.6949999999999998</v>
      </c>
      <c r="R27" s="29">
        <v>2.6949999999999998</v>
      </c>
      <c r="S27" s="28">
        <v>2021</v>
      </c>
      <c r="T27" s="29" t="s">
        <v>294</v>
      </c>
      <c r="U27" s="29" t="s">
        <v>294</v>
      </c>
      <c r="V27" s="29" t="s">
        <v>487</v>
      </c>
      <c r="W27" s="29" t="s">
        <v>487</v>
      </c>
      <c r="X27" s="29" t="s">
        <v>488</v>
      </c>
      <c r="Y27" s="29" t="s">
        <v>488</v>
      </c>
      <c r="Z27" s="29" t="s">
        <v>488</v>
      </c>
      <c r="AA27" s="29" t="s">
        <v>488</v>
      </c>
    </row>
    <row r="28" spans="1:27" s="32" customFormat="1" x14ac:dyDescent="0.2">
      <c r="A28" s="28">
        <v>4</v>
      </c>
      <c r="B28" s="186" t="s">
        <v>491</v>
      </c>
      <c r="C28" s="186" t="s">
        <v>491</v>
      </c>
      <c r="D28" s="186" t="s">
        <v>491</v>
      </c>
      <c r="E28" s="186" t="s">
        <v>491</v>
      </c>
      <c r="F28" s="29">
        <v>0.4</v>
      </c>
      <c r="G28" s="29">
        <v>0.4</v>
      </c>
      <c r="H28" s="28">
        <v>0.4</v>
      </c>
      <c r="I28" s="28">
        <v>0.4</v>
      </c>
      <c r="J28" s="29" t="s">
        <v>294</v>
      </c>
      <c r="K28" s="29">
        <v>1</v>
      </c>
      <c r="L28" s="29">
        <v>1</v>
      </c>
      <c r="M28" s="29" t="s">
        <v>484</v>
      </c>
      <c r="N28" s="29" t="s">
        <v>485</v>
      </c>
      <c r="O28" s="29" t="s">
        <v>486</v>
      </c>
      <c r="P28" s="29" t="s">
        <v>486</v>
      </c>
      <c r="Q28" s="29">
        <v>2.0659999999999998</v>
      </c>
      <c r="R28" s="29">
        <v>2.0659999999999998</v>
      </c>
      <c r="S28" s="28">
        <v>2021</v>
      </c>
      <c r="T28" s="29" t="s">
        <v>294</v>
      </c>
      <c r="U28" s="29" t="s">
        <v>294</v>
      </c>
      <c r="V28" s="29" t="s">
        <v>487</v>
      </c>
      <c r="W28" s="29" t="s">
        <v>487</v>
      </c>
      <c r="X28" s="29" t="s">
        <v>488</v>
      </c>
      <c r="Y28" s="29" t="s">
        <v>488</v>
      </c>
      <c r="Z28" s="29" t="s">
        <v>488</v>
      </c>
      <c r="AA28" s="29" t="s">
        <v>488</v>
      </c>
    </row>
    <row r="29" spans="1:27" x14ac:dyDescent="0.25">
      <c r="A29" s="28">
        <v>5</v>
      </c>
      <c r="B29" s="186" t="s">
        <v>492</v>
      </c>
      <c r="C29" s="186" t="s">
        <v>492</v>
      </c>
      <c r="D29" s="186" t="s">
        <v>492</v>
      </c>
      <c r="E29" s="186" t="s">
        <v>492</v>
      </c>
      <c r="F29" s="29">
        <v>0.4</v>
      </c>
      <c r="G29" s="29">
        <v>0.4</v>
      </c>
      <c r="H29" s="28">
        <v>0.4</v>
      </c>
      <c r="I29" s="28">
        <v>0.4</v>
      </c>
      <c r="J29" s="29" t="s">
        <v>294</v>
      </c>
      <c r="K29" s="29">
        <v>1</v>
      </c>
      <c r="L29" s="29">
        <v>1</v>
      </c>
      <c r="M29" s="29" t="s">
        <v>484</v>
      </c>
      <c r="N29" s="29" t="s">
        <v>485</v>
      </c>
      <c r="O29" s="29" t="s">
        <v>486</v>
      </c>
      <c r="P29" s="29" t="s">
        <v>486</v>
      </c>
      <c r="Q29" s="29">
        <v>3.3290000000000002</v>
      </c>
      <c r="R29" s="29">
        <v>3.3290000000000002</v>
      </c>
      <c r="S29" s="28">
        <v>2021</v>
      </c>
      <c r="T29" s="29" t="s">
        <v>294</v>
      </c>
      <c r="U29" s="29" t="s">
        <v>294</v>
      </c>
      <c r="V29" s="29" t="s">
        <v>487</v>
      </c>
      <c r="W29" s="29" t="s">
        <v>487</v>
      </c>
      <c r="X29" s="29" t="s">
        <v>488</v>
      </c>
      <c r="Y29" s="29" t="s">
        <v>488</v>
      </c>
      <c r="Z29" s="29" t="s">
        <v>488</v>
      </c>
      <c r="AA29" s="29" t="s">
        <v>488</v>
      </c>
    </row>
    <row r="30" spans="1:27" x14ac:dyDescent="0.25">
      <c r="A30" s="28">
        <v>6</v>
      </c>
      <c r="B30" s="186" t="s">
        <v>493</v>
      </c>
      <c r="C30" s="186" t="s">
        <v>493</v>
      </c>
      <c r="D30" s="186" t="s">
        <v>493</v>
      </c>
      <c r="E30" s="186" t="s">
        <v>493</v>
      </c>
      <c r="F30" s="29">
        <v>0.4</v>
      </c>
      <c r="G30" s="29">
        <v>0.4</v>
      </c>
      <c r="H30" s="28">
        <v>0.4</v>
      </c>
      <c r="I30" s="28">
        <v>0.4</v>
      </c>
      <c r="J30" s="29" t="s">
        <v>294</v>
      </c>
      <c r="K30" s="29">
        <v>1</v>
      </c>
      <c r="L30" s="29">
        <v>1</v>
      </c>
      <c r="M30" s="29" t="s">
        <v>484</v>
      </c>
      <c r="N30" s="29" t="s">
        <v>485</v>
      </c>
      <c r="O30" s="29" t="s">
        <v>486</v>
      </c>
      <c r="P30" s="29" t="s">
        <v>486</v>
      </c>
      <c r="Q30" s="29">
        <v>1.22</v>
      </c>
      <c r="R30" s="29">
        <v>1.22</v>
      </c>
      <c r="S30" s="28">
        <v>2021</v>
      </c>
      <c r="T30" s="29" t="s">
        <v>294</v>
      </c>
      <c r="U30" s="29" t="s">
        <v>294</v>
      </c>
      <c r="V30" s="29" t="s">
        <v>487</v>
      </c>
      <c r="W30" s="29" t="s">
        <v>487</v>
      </c>
      <c r="X30" s="29" t="s">
        <v>488</v>
      </c>
      <c r="Y30" s="29" t="s">
        <v>488</v>
      </c>
      <c r="Z30" s="29" t="s">
        <v>488</v>
      </c>
      <c r="AA30" s="29" t="s">
        <v>488</v>
      </c>
    </row>
    <row r="31" spans="1:27" x14ac:dyDescent="0.25">
      <c r="A31" s="28">
        <v>7</v>
      </c>
      <c r="B31" s="186" t="s">
        <v>494</v>
      </c>
      <c r="C31" s="186" t="s">
        <v>494</v>
      </c>
      <c r="D31" s="186" t="s">
        <v>494</v>
      </c>
      <c r="E31" s="186" t="s">
        <v>494</v>
      </c>
      <c r="F31" s="29">
        <v>0.4</v>
      </c>
      <c r="G31" s="29">
        <v>0.4</v>
      </c>
      <c r="H31" s="28">
        <v>0.4</v>
      </c>
      <c r="I31" s="28">
        <v>0.4</v>
      </c>
      <c r="J31" s="29" t="s">
        <v>294</v>
      </c>
      <c r="K31" s="29">
        <v>1</v>
      </c>
      <c r="L31" s="29">
        <v>1</v>
      </c>
      <c r="M31" s="29" t="s">
        <v>484</v>
      </c>
      <c r="N31" s="29" t="s">
        <v>485</v>
      </c>
      <c r="O31" s="29" t="s">
        <v>486</v>
      </c>
      <c r="P31" s="29" t="s">
        <v>486</v>
      </c>
      <c r="Q31" s="29">
        <v>1.4330000000000001</v>
      </c>
      <c r="R31" s="29">
        <v>1.4330000000000001</v>
      </c>
      <c r="S31" s="28">
        <v>2021</v>
      </c>
      <c r="T31" s="29" t="s">
        <v>294</v>
      </c>
      <c r="U31" s="29" t="s">
        <v>294</v>
      </c>
      <c r="V31" s="29" t="s">
        <v>487</v>
      </c>
      <c r="W31" s="29" t="s">
        <v>487</v>
      </c>
      <c r="X31" s="29" t="s">
        <v>488</v>
      </c>
      <c r="Y31" s="29" t="s">
        <v>488</v>
      </c>
      <c r="Z31" s="29" t="s">
        <v>488</v>
      </c>
      <c r="AA31" s="29" t="s">
        <v>488</v>
      </c>
    </row>
    <row r="32" spans="1:27" x14ac:dyDescent="0.25">
      <c r="A32" s="28">
        <v>8</v>
      </c>
      <c r="B32" s="186" t="s">
        <v>495</v>
      </c>
      <c r="C32" s="186" t="s">
        <v>495</v>
      </c>
      <c r="D32" s="186" t="s">
        <v>495</v>
      </c>
      <c r="E32" s="186" t="s">
        <v>495</v>
      </c>
      <c r="F32" s="29">
        <v>0.4</v>
      </c>
      <c r="G32" s="29">
        <v>0.4</v>
      </c>
      <c r="H32" s="28">
        <v>0.4</v>
      </c>
      <c r="I32" s="28">
        <v>0.4</v>
      </c>
      <c r="J32" s="29" t="s">
        <v>294</v>
      </c>
      <c r="K32" s="29">
        <v>1</v>
      </c>
      <c r="L32" s="29">
        <v>1</v>
      </c>
      <c r="M32" s="29" t="s">
        <v>484</v>
      </c>
      <c r="N32" s="29" t="s">
        <v>485</v>
      </c>
      <c r="O32" s="29" t="s">
        <v>486</v>
      </c>
      <c r="P32" s="29" t="s">
        <v>486</v>
      </c>
      <c r="Q32" s="29">
        <v>2.359</v>
      </c>
      <c r="R32" s="29">
        <v>2.359</v>
      </c>
      <c r="S32" s="28">
        <v>2021</v>
      </c>
      <c r="T32" s="29" t="s">
        <v>294</v>
      </c>
      <c r="U32" s="29" t="s">
        <v>294</v>
      </c>
      <c r="V32" s="29" t="s">
        <v>487</v>
      </c>
      <c r="W32" s="29" t="s">
        <v>487</v>
      </c>
      <c r="X32" s="29" t="s">
        <v>488</v>
      </c>
      <c r="Y32" s="29" t="s">
        <v>488</v>
      </c>
      <c r="Z32" s="29" t="s">
        <v>488</v>
      </c>
      <c r="AA32" s="29" t="s">
        <v>488</v>
      </c>
    </row>
    <row r="33" spans="1:27" x14ac:dyDescent="0.25">
      <c r="A33" s="28">
        <v>9</v>
      </c>
      <c r="B33" s="186" t="s">
        <v>496</v>
      </c>
      <c r="C33" s="186" t="s">
        <v>496</v>
      </c>
      <c r="D33" s="186" t="s">
        <v>496</v>
      </c>
      <c r="E33" s="186" t="s">
        <v>496</v>
      </c>
      <c r="F33" s="29">
        <v>0.4</v>
      </c>
      <c r="G33" s="29">
        <v>0.4</v>
      </c>
      <c r="H33" s="28">
        <v>0.4</v>
      </c>
      <c r="I33" s="28">
        <v>0.4</v>
      </c>
      <c r="J33" s="29" t="s">
        <v>294</v>
      </c>
      <c r="K33" s="29">
        <v>1</v>
      </c>
      <c r="L33" s="29">
        <v>1</v>
      </c>
      <c r="M33" s="29" t="s">
        <v>484</v>
      </c>
      <c r="N33" s="29" t="s">
        <v>485</v>
      </c>
      <c r="O33" s="29" t="s">
        <v>486</v>
      </c>
      <c r="P33" s="29" t="s">
        <v>486</v>
      </c>
      <c r="Q33" s="29">
        <v>0.89700000000000002</v>
      </c>
      <c r="R33" s="29">
        <v>0.89700000000000002</v>
      </c>
      <c r="S33" s="28">
        <v>2021</v>
      </c>
      <c r="T33" s="29" t="s">
        <v>294</v>
      </c>
      <c r="U33" s="29" t="s">
        <v>294</v>
      </c>
      <c r="V33" s="29" t="s">
        <v>487</v>
      </c>
      <c r="W33" s="29" t="s">
        <v>487</v>
      </c>
      <c r="X33" s="29" t="s">
        <v>488</v>
      </c>
      <c r="Y33" s="29" t="s">
        <v>488</v>
      </c>
      <c r="Z33" s="29" t="s">
        <v>488</v>
      </c>
      <c r="AA33" s="29" t="s">
        <v>488</v>
      </c>
    </row>
    <row r="34" spans="1:27" x14ac:dyDescent="0.25">
      <c r="A34" s="28">
        <v>10</v>
      </c>
      <c r="B34" s="186" t="s">
        <v>497</v>
      </c>
      <c r="C34" s="186" t="s">
        <v>497</v>
      </c>
      <c r="D34" s="186" t="s">
        <v>497</v>
      </c>
      <c r="E34" s="186" t="s">
        <v>497</v>
      </c>
      <c r="F34" s="29">
        <v>0.4</v>
      </c>
      <c r="G34" s="29">
        <v>0.4</v>
      </c>
      <c r="H34" s="28">
        <v>0.4</v>
      </c>
      <c r="I34" s="28">
        <v>0.4</v>
      </c>
      <c r="J34" s="29" t="s">
        <v>294</v>
      </c>
      <c r="K34" s="29">
        <v>1</v>
      </c>
      <c r="L34" s="29">
        <v>1</v>
      </c>
      <c r="M34" s="29" t="s">
        <v>484</v>
      </c>
      <c r="N34" s="29" t="s">
        <v>485</v>
      </c>
      <c r="O34" s="29" t="s">
        <v>486</v>
      </c>
      <c r="P34" s="29" t="s">
        <v>486</v>
      </c>
      <c r="Q34" s="29">
        <v>2.552</v>
      </c>
      <c r="R34" s="29">
        <v>2.552</v>
      </c>
      <c r="S34" s="28">
        <v>2021</v>
      </c>
      <c r="T34" s="29" t="s">
        <v>294</v>
      </c>
      <c r="U34" s="29" t="s">
        <v>294</v>
      </c>
      <c r="V34" s="29" t="s">
        <v>487</v>
      </c>
      <c r="W34" s="29" t="s">
        <v>487</v>
      </c>
      <c r="X34" s="29" t="s">
        <v>488</v>
      </c>
      <c r="Y34" s="29" t="s">
        <v>488</v>
      </c>
      <c r="Z34" s="29" t="s">
        <v>488</v>
      </c>
      <c r="AA34" s="29" t="s">
        <v>488</v>
      </c>
    </row>
    <row r="35" spans="1:27" x14ac:dyDescent="0.25">
      <c r="A35" s="28">
        <v>11</v>
      </c>
      <c r="B35" s="186" t="s">
        <v>498</v>
      </c>
      <c r="C35" s="186" t="s">
        <v>498</v>
      </c>
      <c r="D35" s="186" t="s">
        <v>498</v>
      </c>
      <c r="E35" s="186" t="s">
        <v>498</v>
      </c>
      <c r="F35" s="29">
        <v>0.4</v>
      </c>
      <c r="G35" s="29">
        <v>0.4</v>
      </c>
      <c r="H35" s="28">
        <v>0.4</v>
      </c>
      <c r="I35" s="28">
        <v>0.4</v>
      </c>
      <c r="J35" s="29" t="s">
        <v>294</v>
      </c>
      <c r="K35" s="29">
        <v>1</v>
      </c>
      <c r="L35" s="29">
        <v>1</v>
      </c>
      <c r="M35" s="29" t="s">
        <v>484</v>
      </c>
      <c r="N35" s="29" t="s">
        <v>485</v>
      </c>
      <c r="O35" s="29" t="s">
        <v>486</v>
      </c>
      <c r="P35" s="29" t="s">
        <v>486</v>
      </c>
      <c r="Q35" s="29">
        <v>3.26</v>
      </c>
      <c r="R35" s="29">
        <v>3.26</v>
      </c>
      <c r="S35" s="28">
        <v>2021</v>
      </c>
      <c r="T35" s="29" t="s">
        <v>294</v>
      </c>
      <c r="U35" s="29" t="s">
        <v>294</v>
      </c>
      <c r="V35" s="29" t="s">
        <v>487</v>
      </c>
      <c r="W35" s="29" t="s">
        <v>487</v>
      </c>
      <c r="X35" s="29" t="s">
        <v>488</v>
      </c>
      <c r="Y35" s="29" t="s">
        <v>488</v>
      </c>
      <c r="Z35" s="29" t="s">
        <v>488</v>
      </c>
      <c r="AA35" s="29" t="s">
        <v>488</v>
      </c>
    </row>
    <row r="36" spans="1:27" ht="47.25" x14ac:dyDescent="0.25">
      <c r="A36" s="28">
        <v>12</v>
      </c>
      <c r="B36" s="30" t="s">
        <v>499</v>
      </c>
      <c r="C36" s="30" t="s">
        <v>499</v>
      </c>
      <c r="D36" s="30" t="s">
        <v>499</v>
      </c>
      <c r="E36" s="30" t="s">
        <v>499</v>
      </c>
      <c r="F36" s="31">
        <v>0.4</v>
      </c>
      <c r="G36" s="31">
        <v>0.4</v>
      </c>
      <c r="H36" s="31">
        <v>0.4</v>
      </c>
      <c r="I36" s="31">
        <v>0.4</v>
      </c>
      <c r="J36" s="29" t="s">
        <v>294</v>
      </c>
      <c r="K36" s="31">
        <v>1</v>
      </c>
      <c r="L36" s="31">
        <v>1</v>
      </c>
      <c r="M36" s="29" t="s">
        <v>484</v>
      </c>
      <c r="N36" s="31" t="s">
        <v>485</v>
      </c>
      <c r="O36" s="29" t="s">
        <v>486</v>
      </c>
      <c r="P36" s="29" t="s">
        <v>486</v>
      </c>
      <c r="Q36" s="31">
        <v>1.7549999999999999</v>
      </c>
      <c r="R36" s="31">
        <v>1.7549999999999999</v>
      </c>
      <c r="S36" s="28">
        <v>2021</v>
      </c>
      <c r="T36" s="29" t="s">
        <v>294</v>
      </c>
      <c r="U36" s="29" t="s">
        <v>294</v>
      </c>
      <c r="V36" s="29" t="s">
        <v>487</v>
      </c>
      <c r="W36" s="29" t="s">
        <v>487</v>
      </c>
      <c r="X36" s="29" t="s">
        <v>488</v>
      </c>
      <c r="Y36" s="29" t="s">
        <v>488</v>
      </c>
      <c r="Z36" s="29" t="s">
        <v>488</v>
      </c>
      <c r="AA36" s="29" t="s">
        <v>488</v>
      </c>
    </row>
    <row r="37" spans="1:27" x14ac:dyDescent="0.25">
      <c r="A37" s="28">
        <v>13</v>
      </c>
      <c r="B37" s="187" t="s">
        <v>500</v>
      </c>
      <c r="C37" s="187" t="s">
        <v>500</v>
      </c>
      <c r="D37" s="187" t="s">
        <v>500</v>
      </c>
      <c r="E37" s="187" t="s">
        <v>500</v>
      </c>
      <c r="F37" s="140">
        <v>0.4</v>
      </c>
      <c r="G37" s="140">
        <v>0.4</v>
      </c>
      <c r="H37" s="187">
        <v>0.4</v>
      </c>
      <c r="I37" s="187">
        <v>0.4</v>
      </c>
      <c r="J37" s="29" t="s">
        <v>294</v>
      </c>
      <c r="K37" s="140">
        <v>1</v>
      </c>
      <c r="L37" s="140">
        <v>1</v>
      </c>
      <c r="M37" s="29" t="s">
        <v>484</v>
      </c>
      <c r="N37" s="29" t="s">
        <v>485</v>
      </c>
      <c r="O37" s="29" t="s">
        <v>486</v>
      </c>
      <c r="P37" s="29" t="s">
        <v>486</v>
      </c>
      <c r="Q37" s="140">
        <v>3.55</v>
      </c>
      <c r="R37" s="140">
        <v>3.55</v>
      </c>
      <c r="S37" s="28">
        <v>2021</v>
      </c>
      <c r="T37" s="29" t="s">
        <v>294</v>
      </c>
      <c r="U37" s="29" t="s">
        <v>294</v>
      </c>
      <c r="V37" s="29" t="s">
        <v>487</v>
      </c>
      <c r="W37" s="29" t="s">
        <v>487</v>
      </c>
      <c r="X37" s="29" t="s">
        <v>488</v>
      </c>
      <c r="Y37" s="29" t="s">
        <v>488</v>
      </c>
      <c r="Z37" s="29" t="s">
        <v>488</v>
      </c>
      <c r="AA37" s="29" t="s">
        <v>488</v>
      </c>
    </row>
    <row r="38" spans="1:27" x14ac:dyDescent="0.25">
      <c r="A38" s="28">
        <v>14</v>
      </c>
      <c r="B38" s="188" t="s">
        <v>501</v>
      </c>
      <c r="C38" s="188" t="s">
        <v>501</v>
      </c>
      <c r="D38" s="187" t="s">
        <v>501</v>
      </c>
      <c r="E38" s="187" t="s">
        <v>501</v>
      </c>
      <c r="F38" s="140">
        <v>0.4</v>
      </c>
      <c r="G38" s="140">
        <v>0.4</v>
      </c>
      <c r="H38" s="187">
        <v>0.4</v>
      </c>
      <c r="I38" s="187">
        <v>0.4</v>
      </c>
      <c r="J38" s="29" t="s">
        <v>294</v>
      </c>
      <c r="K38" s="140">
        <v>1</v>
      </c>
      <c r="L38" s="140">
        <v>1</v>
      </c>
      <c r="M38" s="29" t="s">
        <v>484</v>
      </c>
      <c r="N38" s="29" t="s">
        <v>485</v>
      </c>
      <c r="O38" s="29" t="s">
        <v>486</v>
      </c>
      <c r="P38" s="29" t="s">
        <v>486</v>
      </c>
      <c r="Q38" s="140">
        <v>2.823</v>
      </c>
      <c r="R38" s="140">
        <v>2.823</v>
      </c>
      <c r="S38" s="28">
        <v>2021</v>
      </c>
      <c r="T38" s="29" t="s">
        <v>294</v>
      </c>
      <c r="U38" s="29" t="s">
        <v>294</v>
      </c>
      <c r="V38" s="29" t="s">
        <v>487</v>
      </c>
      <c r="W38" s="29" t="s">
        <v>487</v>
      </c>
      <c r="X38" s="29" t="s">
        <v>488</v>
      </c>
      <c r="Y38" s="29" t="s">
        <v>488</v>
      </c>
      <c r="Z38" s="29" t="s">
        <v>488</v>
      </c>
      <c r="AA38" s="29" t="s">
        <v>488</v>
      </c>
    </row>
    <row r="39" spans="1:27" x14ac:dyDescent="0.25">
      <c r="A39" s="28">
        <v>15</v>
      </c>
      <c r="B39" s="188" t="s">
        <v>502</v>
      </c>
      <c r="C39" s="188" t="s">
        <v>502</v>
      </c>
      <c r="D39" s="187" t="s">
        <v>502</v>
      </c>
      <c r="E39" s="187" t="s">
        <v>502</v>
      </c>
      <c r="F39" s="140">
        <v>0.4</v>
      </c>
      <c r="G39" s="140">
        <v>0.4</v>
      </c>
      <c r="H39" s="187">
        <v>0.4</v>
      </c>
      <c r="I39" s="187">
        <v>0.4</v>
      </c>
      <c r="J39" s="29" t="s">
        <v>294</v>
      </c>
      <c r="K39" s="140">
        <v>1</v>
      </c>
      <c r="L39" s="140">
        <v>1</v>
      </c>
      <c r="M39" s="29" t="s">
        <v>484</v>
      </c>
      <c r="N39" s="29" t="s">
        <v>485</v>
      </c>
      <c r="O39" s="29" t="s">
        <v>486</v>
      </c>
      <c r="P39" s="29" t="s">
        <v>486</v>
      </c>
      <c r="Q39" s="140">
        <v>3</v>
      </c>
      <c r="R39" s="140">
        <v>3</v>
      </c>
      <c r="S39" s="28">
        <v>2021</v>
      </c>
      <c r="T39" s="29" t="s">
        <v>294</v>
      </c>
      <c r="U39" s="29" t="s">
        <v>294</v>
      </c>
      <c r="V39" s="29" t="s">
        <v>487</v>
      </c>
      <c r="W39" s="29" t="s">
        <v>487</v>
      </c>
      <c r="X39" s="29" t="s">
        <v>488</v>
      </c>
      <c r="Y39" s="29" t="s">
        <v>488</v>
      </c>
      <c r="Z39" s="29" t="s">
        <v>488</v>
      </c>
      <c r="AA39" s="29" t="s">
        <v>488</v>
      </c>
    </row>
    <row r="40" spans="1:27" x14ac:dyDescent="0.25">
      <c r="A40" s="28">
        <v>16</v>
      </c>
      <c r="B40" s="187" t="s">
        <v>503</v>
      </c>
      <c r="C40" s="187" t="s">
        <v>503</v>
      </c>
      <c r="D40" s="187" t="s">
        <v>503</v>
      </c>
      <c r="E40" s="187" t="s">
        <v>503</v>
      </c>
      <c r="F40" s="140">
        <v>0.4</v>
      </c>
      <c r="G40" s="140">
        <v>0.4</v>
      </c>
      <c r="H40" s="187">
        <v>0.4</v>
      </c>
      <c r="I40" s="187">
        <v>0.4</v>
      </c>
      <c r="J40" s="29" t="s">
        <v>294</v>
      </c>
      <c r="K40" s="140">
        <v>1</v>
      </c>
      <c r="L40" s="140">
        <v>1</v>
      </c>
      <c r="M40" s="29" t="s">
        <v>484</v>
      </c>
      <c r="N40" s="29" t="s">
        <v>485</v>
      </c>
      <c r="O40" s="29" t="s">
        <v>486</v>
      </c>
      <c r="P40" s="29" t="s">
        <v>486</v>
      </c>
      <c r="Q40" s="140">
        <v>1.444</v>
      </c>
      <c r="R40" s="140">
        <v>1.444</v>
      </c>
      <c r="S40" s="28">
        <v>2021</v>
      </c>
      <c r="T40" s="29" t="s">
        <v>294</v>
      </c>
      <c r="U40" s="29" t="s">
        <v>294</v>
      </c>
      <c r="V40" s="29" t="s">
        <v>487</v>
      </c>
      <c r="W40" s="29" t="s">
        <v>487</v>
      </c>
      <c r="X40" s="29" t="s">
        <v>488</v>
      </c>
      <c r="Y40" s="29" t="s">
        <v>488</v>
      </c>
      <c r="Z40" s="29" t="s">
        <v>488</v>
      </c>
      <c r="AA40" s="29" t="s">
        <v>488</v>
      </c>
    </row>
    <row r="41" spans="1:27" x14ac:dyDescent="0.25">
      <c r="A41" s="28">
        <v>17</v>
      </c>
      <c r="B41" s="187" t="s">
        <v>504</v>
      </c>
      <c r="C41" s="187" t="s">
        <v>504</v>
      </c>
      <c r="D41" s="187" t="s">
        <v>504</v>
      </c>
      <c r="E41" s="187" t="s">
        <v>504</v>
      </c>
      <c r="F41" s="140">
        <v>0.4</v>
      </c>
      <c r="G41" s="140">
        <v>0.4</v>
      </c>
      <c r="H41" s="187">
        <v>0.4</v>
      </c>
      <c r="I41" s="187">
        <v>0.4</v>
      </c>
      <c r="J41" s="29" t="s">
        <v>294</v>
      </c>
      <c r="K41" s="140">
        <v>1</v>
      </c>
      <c r="L41" s="140">
        <v>1</v>
      </c>
      <c r="M41" s="29" t="s">
        <v>484</v>
      </c>
      <c r="N41" s="29" t="s">
        <v>485</v>
      </c>
      <c r="O41" s="29" t="s">
        <v>486</v>
      </c>
      <c r="P41" s="29" t="s">
        <v>486</v>
      </c>
      <c r="Q41" s="140">
        <v>2.6829999999999998</v>
      </c>
      <c r="R41" s="140">
        <v>2.6829999999999998</v>
      </c>
      <c r="S41" s="28">
        <v>2021</v>
      </c>
      <c r="T41" s="29" t="s">
        <v>294</v>
      </c>
      <c r="U41" s="29" t="s">
        <v>294</v>
      </c>
      <c r="V41" s="29" t="s">
        <v>487</v>
      </c>
      <c r="W41" s="29" t="s">
        <v>487</v>
      </c>
      <c r="X41" s="29" t="s">
        <v>488</v>
      </c>
      <c r="Y41" s="29" t="s">
        <v>488</v>
      </c>
      <c r="Z41" s="29" t="s">
        <v>488</v>
      </c>
      <c r="AA41" s="29" t="s">
        <v>488</v>
      </c>
    </row>
    <row r="42" spans="1:27" x14ac:dyDescent="0.25">
      <c r="A42" s="28">
        <v>18</v>
      </c>
      <c r="B42" s="187" t="s">
        <v>505</v>
      </c>
      <c r="C42" s="187" t="s">
        <v>505</v>
      </c>
      <c r="D42" s="187" t="s">
        <v>505</v>
      </c>
      <c r="E42" s="187" t="s">
        <v>505</v>
      </c>
      <c r="F42" s="140">
        <v>0.4</v>
      </c>
      <c r="G42" s="140">
        <v>0.4</v>
      </c>
      <c r="H42" s="187">
        <v>0.4</v>
      </c>
      <c r="I42" s="187">
        <v>0.4</v>
      </c>
      <c r="J42" s="29" t="s">
        <v>294</v>
      </c>
      <c r="K42" s="140">
        <v>1</v>
      </c>
      <c r="L42" s="140">
        <v>1</v>
      </c>
      <c r="M42" s="29" t="s">
        <v>484</v>
      </c>
      <c r="N42" s="29" t="s">
        <v>485</v>
      </c>
      <c r="O42" s="29" t="s">
        <v>486</v>
      </c>
      <c r="P42" s="29" t="s">
        <v>486</v>
      </c>
      <c r="Q42" s="140">
        <v>1.5940000000000001</v>
      </c>
      <c r="R42" s="140">
        <v>1.5940000000000001</v>
      </c>
      <c r="S42" s="28">
        <v>2021</v>
      </c>
      <c r="T42" s="29" t="s">
        <v>294</v>
      </c>
      <c r="U42" s="29" t="s">
        <v>294</v>
      </c>
      <c r="V42" s="29" t="s">
        <v>487</v>
      </c>
      <c r="W42" s="29" t="s">
        <v>487</v>
      </c>
      <c r="X42" s="29" t="s">
        <v>488</v>
      </c>
      <c r="Y42" s="29" t="s">
        <v>488</v>
      </c>
      <c r="Z42" s="29" t="s">
        <v>488</v>
      </c>
      <c r="AA42" s="29" t="s">
        <v>488</v>
      </c>
    </row>
    <row r="43" spans="1:27" x14ac:dyDescent="0.25">
      <c r="A43" s="28">
        <v>19</v>
      </c>
      <c r="B43" s="187" t="s">
        <v>506</v>
      </c>
      <c r="C43" s="187" t="s">
        <v>506</v>
      </c>
      <c r="D43" s="187" t="s">
        <v>506</v>
      </c>
      <c r="E43" s="187" t="s">
        <v>506</v>
      </c>
      <c r="F43" s="140">
        <v>0.4</v>
      </c>
      <c r="G43" s="140">
        <v>0.4</v>
      </c>
      <c r="H43" s="187">
        <v>0.4</v>
      </c>
      <c r="I43" s="187">
        <v>0.4</v>
      </c>
      <c r="J43" s="29" t="s">
        <v>294</v>
      </c>
      <c r="K43" s="140">
        <v>1</v>
      </c>
      <c r="L43" s="140">
        <v>1</v>
      </c>
      <c r="M43" s="29" t="s">
        <v>484</v>
      </c>
      <c r="N43" s="29" t="s">
        <v>485</v>
      </c>
      <c r="O43" s="29" t="s">
        <v>486</v>
      </c>
      <c r="P43" s="29" t="s">
        <v>486</v>
      </c>
      <c r="Q43" s="140">
        <v>2.472</v>
      </c>
      <c r="R43" s="140">
        <v>2.472</v>
      </c>
      <c r="S43" s="28">
        <v>2021</v>
      </c>
      <c r="T43" s="29" t="s">
        <v>294</v>
      </c>
      <c r="U43" s="29" t="s">
        <v>294</v>
      </c>
      <c r="V43" s="29" t="s">
        <v>487</v>
      </c>
      <c r="W43" s="29" t="s">
        <v>487</v>
      </c>
      <c r="X43" s="29" t="s">
        <v>488</v>
      </c>
      <c r="Y43" s="29" t="s">
        <v>488</v>
      </c>
      <c r="Z43" s="29" t="s">
        <v>488</v>
      </c>
      <c r="AA43" s="29" t="s">
        <v>488</v>
      </c>
    </row>
    <row r="44" spans="1:27" x14ac:dyDescent="0.25">
      <c r="A44" s="28">
        <v>20</v>
      </c>
      <c r="B44" s="187" t="s">
        <v>507</v>
      </c>
      <c r="C44" s="187" t="s">
        <v>507</v>
      </c>
      <c r="D44" s="187" t="s">
        <v>507</v>
      </c>
      <c r="E44" s="187" t="s">
        <v>507</v>
      </c>
      <c r="F44" s="140">
        <v>0.4</v>
      </c>
      <c r="G44" s="140">
        <v>0.4</v>
      </c>
      <c r="H44" s="187">
        <v>0.4</v>
      </c>
      <c r="I44" s="187">
        <v>0.4</v>
      </c>
      <c r="J44" s="29" t="s">
        <v>294</v>
      </c>
      <c r="K44" s="140">
        <v>1</v>
      </c>
      <c r="L44" s="140">
        <v>1</v>
      </c>
      <c r="M44" s="29" t="s">
        <v>484</v>
      </c>
      <c r="N44" s="29" t="s">
        <v>485</v>
      </c>
      <c r="O44" s="29" t="s">
        <v>486</v>
      </c>
      <c r="P44" s="29" t="s">
        <v>486</v>
      </c>
      <c r="Q44" s="140">
        <v>3.0049999999999999</v>
      </c>
      <c r="R44" s="140">
        <v>3.0049999999999999</v>
      </c>
      <c r="S44" s="28">
        <v>2021</v>
      </c>
      <c r="T44" s="29" t="s">
        <v>294</v>
      </c>
      <c r="U44" s="29" t="s">
        <v>294</v>
      </c>
      <c r="V44" s="29" t="s">
        <v>487</v>
      </c>
      <c r="W44" s="29" t="s">
        <v>487</v>
      </c>
      <c r="X44" s="29" t="s">
        <v>488</v>
      </c>
      <c r="Y44" s="29" t="s">
        <v>488</v>
      </c>
      <c r="Z44" s="29" t="s">
        <v>488</v>
      </c>
      <c r="AA44" s="29" t="s">
        <v>488</v>
      </c>
    </row>
    <row r="45" spans="1:27" x14ac:dyDescent="0.25">
      <c r="A45" s="28">
        <v>21</v>
      </c>
      <c r="B45" s="187" t="s">
        <v>508</v>
      </c>
      <c r="C45" s="187" t="s">
        <v>508</v>
      </c>
      <c r="D45" s="187" t="s">
        <v>508</v>
      </c>
      <c r="E45" s="187" t="s">
        <v>508</v>
      </c>
      <c r="F45" s="140">
        <v>0.4</v>
      </c>
      <c r="G45" s="140">
        <v>0.4</v>
      </c>
      <c r="H45" s="187">
        <v>0.4</v>
      </c>
      <c r="I45" s="187">
        <v>0.4</v>
      </c>
      <c r="J45" s="29" t="s">
        <v>294</v>
      </c>
      <c r="K45" s="140">
        <v>1</v>
      </c>
      <c r="L45" s="140">
        <v>1</v>
      </c>
      <c r="M45" s="29" t="s">
        <v>484</v>
      </c>
      <c r="N45" s="29" t="s">
        <v>485</v>
      </c>
      <c r="O45" s="29" t="s">
        <v>486</v>
      </c>
      <c r="P45" s="29" t="s">
        <v>486</v>
      </c>
      <c r="Q45" s="140">
        <v>1.014</v>
      </c>
      <c r="R45" s="140">
        <v>1.014</v>
      </c>
      <c r="S45" s="28">
        <v>2021</v>
      </c>
      <c r="T45" s="29" t="s">
        <v>294</v>
      </c>
      <c r="U45" s="29" t="s">
        <v>294</v>
      </c>
      <c r="V45" s="29" t="s">
        <v>487</v>
      </c>
      <c r="W45" s="29" t="s">
        <v>487</v>
      </c>
      <c r="X45" s="29" t="s">
        <v>488</v>
      </c>
      <c r="Y45" s="29" t="s">
        <v>488</v>
      </c>
      <c r="Z45" s="29" t="s">
        <v>488</v>
      </c>
      <c r="AA45" s="29" t="s">
        <v>488</v>
      </c>
    </row>
    <row r="46" spans="1:27" x14ac:dyDescent="0.25">
      <c r="A46" s="28">
        <v>22</v>
      </c>
      <c r="B46" s="187" t="s">
        <v>509</v>
      </c>
      <c r="C46" s="187" t="s">
        <v>509</v>
      </c>
      <c r="D46" s="187" t="s">
        <v>509</v>
      </c>
      <c r="E46" s="187" t="s">
        <v>509</v>
      </c>
      <c r="F46" s="140">
        <v>0.4</v>
      </c>
      <c r="G46" s="140">
        <v>0.4</v>
      </c>
      <c r="H46" s="187">
        <v>0.4</v>
      </c>
      <c r="I46" s="187">
        <v>0.4</v>
      </c>
      <c r="J46" s="29" t="s">
        <v>294</v>
      </c>
      <c r="K46" s="140">
        <v>1</v>
      </c>
      <c r="L46" s="140">
        <v>1</v>
      </c>
      <c r="M46" s="29" t="s">
        <v>484</v>
      </c>
      <c r="N46" s="29" t="s">
        <v>485</v>
      </c>
      <c r="O46" s="29" t="s">
        <v>486</v>
      </c>
      <c r="P46" s="29" t="s">
        <v>486</v>
      </c>
      <c r="Q46" s="140">
        <v>1.002</v>
      </c>
      <c r="R46" s="140">
        <v>1.002</v>
      </c>
      <c r="S46" s="28">
        <v>2021</v>
      </c>
      <c r="T46" s="29" t="s">
        <v>294</v>
      </c>
      <c r="U46" s="29" t="s">
        <v>294</v>
      </c>
      <c r="V46" s="29" t="s">
        <v>487</v>
      </c>
      <c r="W46" s="29" t="s">
        <v>487</v>
      </c>
      <c r="X46" s="29" t="s">
        <v>488</v>
      </c>
      <c r="Y46" s="29" t="s">
        <v>488</v>
      </c>
      <c r="Z46" s="29" t="s">
        <v>488</v>
      </c>
      <c r="AA46" s="29" t="s">
        <v>488</v>
      </c>
    </row>
    <row r="47" spans="1:27" x14ac:dyDescent="0.25">
      <c r="A47" s="28">
        <v>23</v>
      </c>
      <c r="B47" s="187" t="s">
        <v>510</v>
      </c>
      <c r="C47" s="187" t="s">
        <v>510</v>
      </c>
      <c r="D47" s="187" t="s">
        <v>510</v>
      </c>
      <c r="E47" s="187" t="s">
        <v>510</v>
      </c>
      <c r="F47" s="140">
        <v>0.4</v>
      </c>
      <c r="G47" s="140">
        <v>0.4</v>
      </c>
      <c r="H47" s="187">
        <v>0.4</v>
      </c>
      <c r="I47" s="187">
        <v>0.4</v>
      </c>
      <c r="J47" s="29" t="s">
        <v>294</v>
      </c>
      <c r="K47" s="140">
        <v>1</v>
      </c>
      <c r="L47" s="140">
        <v>1</v>
      </c>
      <c r="M47" s="29" t="s">
        <v>484</v>
      </c>
      <c r="N47" s="29" t="s">
        <v>485</v>
      </c>
      <c r="O47" s="29" t="s">
        <v>486</v>
      </c>
      <c r="P47" s="29" t="s">
        <v>486</v>
      </c>
      <c r="Q47" s="140">
        <v>2.1349999999999998</v>
      </c>
      <c r="R47" s="140">
        <v>2.1349999999999998</v>
      </c>
      <c r="S47" s="28">
        <v>2021</v>
      </c>
      <c r="T47" s="29" t="s">
        <v>294</v>
      </c>
      <c r="U47" s="29" t="s">
        <v>294</v>
      </c>
      <c r="V47" s="29" t="s">
        <v>487</v>
      </c>
      <c r="W47" s="29" t="s">
        <v>487</v>
      </c>
      <c r="X47" s="29" t="s">
        <v>488</v>
      </c>
      <c r="Y47" s="29" t="s">
        <v>488</v>
      </c>
      <c r="Z47" s="29" t="s">
        <v>488</v>
      </c>
      <c r="AA47" s="29" t="s">
        <v>488</v>
      </c>
    </row>
    <row r="48" spans="1:27" x14ac:dyDescent="0.25">
      <c r="A48" s="28">
        <v>24</v>
      </c>
      <c r="B48" s="187" t="s">
        <v>511</v>
      </c>
      <c r="C48" s="187" t="s">
        <v>511</v>
      </c>
      <c r="D48" s="187" t="s">
        <v>511</v>
      </c>
      <c r="E48" s="187" t="s">
        <v>511</v>
      </c>
      <c r="F48" s="140">
        <v>0.4</v>
      </c>
      <c r="G48" s="140">
        <v>0.4</v>
      </c>
      <c r="H48" s="187">
        <v>0.4</v>
      </c>
      <c r="I48" s="187">
        <v>0.4</v>
      </c>
      <c r="J48" s="29" t="s">
        <v>294</v>
      </c>
      <c r="K48" s="140">
        <v>1</v>
      </c>
      <c r="L48" s="140">
        <v>1</v>
      </c>
      <c r="M48" s="29" t="s">
        <v>484</v>
      </c>
      <c r="N48" s="29" t="s">
        <v>485</v>
      </c>
      <c r="O48" s="29" t="s">
        <v>486</v>
      </c>
      <c r="P48" s="29" t="s">
        <v>486</v>
      </c>
      <c r="Q48" s="140">
        <v>2.2669999999999999</v>
      </c>
      <c r="R48" s="140">
        <v>2.2669999999999999</v>
      </c>
      <c r="S48" s="28">
        <v>2021</v>
      </c>
      <c r="T48" s="29" t="s">
        <v>294</v>
      </c>
      <c r="U48" s="29" t="s">
        <v>294</v>
      </c>
      <c r="V48" s="29" t="s">
        <v>487</v>
      </c>
      <c r="W48" s="29" t="s">
        <v>487</v>
      </c>
      <c r="X48" s="29" t="s">
        <v>488</v>
      </c>
      <c r="Y48" s="29" t="s">
        <v>488</v>
      </c>
      <c r="Z48" s="29" t="s">
        <v>488</v>
      </c>
      <c r="AA48" s="29" t="s">
        <v>488</v>
      </c>
    </row>
    <row r="49" spans="1:27" x14ac:dyDescent="0.25">
      <c r="A49" s="28">
        <v>25</v>
      </c>
      <c r="B49" s="187" t="s">
        <v>512</v>
      </c>
      <c r="C49" s="187" t="s">
        <v>512</v>
      </c>
      <c r="D49" s="187" t="s">
        <v>512</v>
      </c>
      <c r="E49" s="187" t="s">
        <v>512</v>
      </c>
      <c r="F49" s="140">
        <v>0.4</v>
      </c>
      <c r="G49" s="140">
        <v>0.4</v>
      </c>
      <c r="H49" s="187">
        <v>0.4</v>
      </c>
      <c r="I49" s="187">
        <v>0.4</v>
      </c>
      <c r="J49" s="29" t="s">
        <v>294</v>
      </c>
      <c r="K49" s="140">
        <v>1</v>
      </c>
      <c r="L49" s="140">
        <v>1</v>
      </c>
      <c r="M49" s="29" t="s">
        <v>484</v>
      </c>
      <c r="N49" s="29" t="s">
        <v>485</v>
      </c>
      <c r="O49" s="29" t="s">
        <v>486</v>
      </c>
      <c r="P49" s="29" t="s">
        <v>486</v>
      </c>
      <c r="Q49" s="140">
        <v>5.9470000000000001</v>
      </c>
      <c r="R49" s="140">
        <v>5.9470000000000001</v>
      </c>
      <c r="S49" s="28">
        <v>2021</v>
      </c>
      <c r="T49" s="29" t="s">
        <v>294</v>
      </c>
      <c r="U49" s="29" t="s">
        <v>294</v>
      </c>
      <c r="V49" s="29" t="s">
        <v>487</v>
      </c>
      <c r="W49" s="29" t="s">
        <v>487</v>
      </c>
      <c r="X49" s="29" t="s">
        <v>488</v>
      </c>
      <c r="Y49" s="29" t="s">
        <v>488</v>
      </c>
      <c r="Z49" s="29" t="s">
        <v>488</v>
      </c>
      <c r="AA49" s="29" t="s">
        <v>488</v>
      </c>
    </row>
    <row r="50" spans="1:27" x14ac:dyDescent="0.25">
      <c r="A50" s="28">
        <v>26</v>
      </c>
      <c r="B50" s="187" t="s">
        <v>513</v>
      </c>
      <c r="C50" s="187" t="s">
        <v>513</v>
      </c>
      <c r="D50" s="187" t="s">
        <v>513</v>
      </c>
      <c r="E50" s="187" t="s">
        <v>513</v>
      </c>
      <c r="F50" s="140">
        <v>0.4</v>
      </c>
      <c r="G50" s="140">
        <v>0.4</v>
      </c>
      <c r="H50" s="187">
        <v>0.4</v>
      </c>
      <c r="I50" s="187">
        <v>0.4</v>
      </c>
      <c r="J50" s="29" t="s">
        <v>294</v>
      </c>
      <c r="K50" s="140">
        <v>1</v>
      </c>
      <c r="L50" s="140">
        <v>1</v>
      </c>
      <c r="M50" s="29" t="s">
        <v>484</v>
      </c>
      <c r="N50" s="29" t="s">
        <v>485</v>
      </c>
      <c r="O50" s="29" t="s">
        <v>486</v>
      </c>
      <c r="P50" s="29" t="s">
        <v>486</v>
      </c>
      <c r="Q50" s="140">
        <v>3.1040000000000001</v>
      </c>
      <c r="R50" s="140">
        <v>3.1040000000000001</v>
      </c>
      <c r="S50" s="28">
        <v>2021</v>
      </c>
      <c r="T50" s="29" t="s">
        <v>294</v>
      </c>
      <c r="U50" s="29" t="s">
        <v>294</v>
      </c>
      <c r="V50" s="29" t="s">
        <v>487</v>
      </c>
      <c r="W50" s="29" t="s">
        <v>487</v>
      </c>
      <c r="X50" s="29" t="s">
        <v>488</v>
      </c>
      <c r="Y50" s="29" t="s">
        <v>488</v>
      </c>
      <c r="Z50" s="29" t="s">
        <v>488</v>
      </c>
      <c r="AA50" s="29" t="s">
        <v>488</v>
      </c>
    </row>
    <row r="51" spans="1:27" x14ac:dyDescent="0.25">
      <c r="A51" s="28">
        <v>27</v>
      </c>
      <c r="B51" s="187" t="s">
        <v>514</v>
      </c>
      <c r="C51" s="187" t="s">
        <v>514</v>
      </c>
      <c r="D51" s="187" t="s">
        <v>514</v>
      </c>
      <c r="E51" s="187" t="s">
        <v>514</v>
      </c>
      <c r="F51" s="140">
        <v>0.4</v>
      </c>
      <c r="G51" s="140">
        <v>0.4</v>
      </c>
      <c r="H51" s="187">
        <v>0.4</v>
      </c>
      <c r="I51" s="187">
        <v>0.4</v>
      </c>
      <c r="J51" s="29" t="s">
        <v>294</v>
      </c>
      <c r="K51" s="140">
        <v>1</v>
      </c>
      <c r="L51" s="140">
        <v>1</v>
      </c>
      <c r="M51" s="29" t="s">
        <v>484</v>
      </c>
      <c r="N51" s="29" t="s">
        <v>485</v>
      </c>
      <c r="O51" s="29" t="s">
        <v>486</v>
      </c>
      <c r="P51" s="29" t="s">
        <v>486</v>
      </c>
      <c r="Q51" s="140">
        <v>3.0710000000000002</v>
      </c>
      <c r="R51" s="140">
        <v>3.0710000000000002</v>
      </c>
      <c r="S51" s="29">
        <v>2021</v>
      </c>
      <c r="T51" s="29" t="s">
        <v>294</v>
      </c>
      <c r="U51" s="29" t="s">
        <v>294</v>
      </c>
      <c r="V51" s="29" t="s">
        <v>487</v>
      </c>
      <c r="W51" s="29" t="s">
        <v>487</v>
      </c>
      <c r="X51" s="29" t="s">
        <v>488</v>
      </c>
      <c r="Y51" s="29" t="s">
        <v>488</v>
      </c>
      <c r="Z51" s="29" t="s">
        <v>488</v>
      </c>
      <c r="AA51" s="29" t="s">
        <v>488</v>
      </c>
    </row>
    <row r="52" spans="1:27" x14ac:dyDescent="0.25">
      <c r="A52" s="28">
        <v>28</v>
      </c>
      <c r="B52" s="187" t="s">
        <v>515</v>
      </c>
      <c r="C52" s="187" t="s">
        <v>515</v>
      </c>
      <c r="D52" s="187" t="s">
        <v>515</v>
      </c>
      <c r="E52" s="187" t="s">
        <v>515</v>
      </c>
      <c r="F52" s="140">
        <v>0.4</v>
      </c>
      <c r="G52" s="140">
        <v>0.4</v>
      </c>
      <c r="H52" s="187">
        <v>0.4</v>
      </c>
      <c r="I52" s="187">
        <v>0.4</v>
      </c>
      <c r="J52" s="29" t="s">
        <v>294</v>
      </c>
      <c r="K52" s="140">
        <v>1</v>
      </c>
      <c r="L52" s="140">
        <v>1</v>
      </c>
      <c r="M52" s="29" t="s">
        <v>484</v>
      </c>
      <c r="N52" s="29" t="s">
        <v>485</v>
      </c>
      <c r="O52" s="29" t="s">
        <v>486</v>
      </c>
      <c r="P52" s="29" t="s">
        <v>486</v>
      </c>
      <c r="Q52" s="140">
        <v>4.32</v>
      </c>
      <c r="R52" s="140">
        <v>4.32</v>
      </c>
      <c r="S52" s="29">
        <v>2021</v>
      </c>
      <c r="T52" s="29" t="s">
        <v>294</v>
      </c>
      <c r="U52" s="29" t="s">
        <v>294</v>
      </c>
      <c r="V52" s="29" t="s">
        <v>487</v>
      </c>
      <c r="W52" s="29" t="s">
        <v>487</v>
      </c>
      <c r="X52" s="29" t="s">
        <v>488</v>
      </c>
      <c r="Y52" s="29" t="s">
        <v>488</v>
      </c>
      <c r="Z52" s="29" t="s">
        <v>488</v>
      </c>
      <c r="AA52" s="29" t="s">
        <v>488</v>
      </c>
    </row>
    <row r="53" spans="1:27" x14ac:dyDescent="0.25">
      <c r="A53" s="28">
        <v>29</v>
      </c>
      <c r="B53" s="187" t="s">
        <v>516</v>
      </c>
      <c r="C53" s="187" t="s">
        <v>516</v>
      </c>
      <c r="D53" s="187" t="s">
        <v>516</v>
      </c>
      <c r="E53" s="187" t="s">
        <v>516</v>
      </c>
      <c r="F53" s="140">
        <v>0.4</v>
      </c>
      <c r="G53" s="140">
        <v>0.4</v>
      </c>
      <c r="H53" s="187">
        <v>0.4</v>
      </c>
      <c r="I53" s="187">
        <v>0.4</v>
      </c>
      <c r="J53" s="29" t="s">
        <v>294</v>
      </c>
      <c r="K53" s="140">
        <v>1</v>
      </c>
      <c r="L53" s="140">
        <v>1</v>
      </c>
      <c r="M53" s="29" t="s">
        <v>484</v>
      </c>
      <c r="N53" s="29" t="s">
        <v>485</v>
      </c>
      <c r="O53" s="29" t="s">
        <v>486</v>
      </c>
      <c r="P53" s="29" t="s">
        <v>486</v>
      </c>
      <c r="Q53" s="140">
        <v>4.9429999999999996</v>
      </c>
      <c r="R53" s="140">
        <v>4.9429999999999996</v>
      </c>
      <c r="S53" s="29">
        <v>2021</v>
      </c>
      <c r="T53" s="29" t="s">
        <v>294</v>
      </c>
      <c r="U53" s="29" t="s">
        <v>294</v>
      </c>
      <c r="V53" s="29" t="s">
        <v>487</v>
      </c>
      <c r="W53" s="29" t="s">
        <v>487</v>
      </c>
      <c r="X53" s="29" t="s">
        <v>488</v>
      </c>
      <c r="Y53" s="29" t="s">
        <v>488</v>
      </c>
      <c r="Z53" s="29" t="s">
        <v>488</v>
      </c>
      <c r="AA53" s="29" t="s">
        <v>488</v>
      </c>
    </row>
    <row r="54" spans="1:27" x14ac:dyDescent="0.25">
      <c r="A54" s="28">
        <v>30</v>
      </c>
      <c r="B54" s="187" t="s">
        <v>517</v>
      </c>
      <c r="C54" s="187" t="s">
        <v>517</v>
      </c>
      <c r="D54" s="187" t="s">
        <v>517</v>
      </c>
      <c r="E54" s="187" t="s">
        <v>517</v>
      </c>
      <c r="F54" s="140">
        <v>0.4</v>
      </c>
      <c r="G54" s="140">
        <v>0.4</v>
      </c>
      <c r="H54" s="187">
        <v>0.4</v>
      </c>
      <c r="I54" s="187">
        <v>0.4</v>
      </c>
      <c r="J54" s="29" t="s">
        <v>294</v>
      </c>
      <c r="K54" s="140">
        <v>1</v>
      </c>
      <c r="L54" s="140">
        <v>1</v>
      </c>
      <c r="M54" s="29" t="s">
        <v>484</v>
      </c>
      <c r="N54" s="29" t="s">
        <v>485</v>
      </c>
      <c r="O54" s="29" t="s">
        <v>486</v>
      </c>
      <c r="P54" s="29" t="s">
        <v>486</v>
      </c>
      <c r="Q54" s="140">
        <v>0.76500000000000001</v>
      </c>
      <c r="R54" s="140">
        <v>0.76500000000000001</v>
      </c>
      <c r="S54" s="29">
        <v>2021</v>
      </c>
      <c r="T54" s="29" t="s">
        <v>294</v>
      </c>
      <c r="U54" s="29" t="s">
        <v>294</v>
      </c>
      <c r="V54" s="29" t="s">
        <v>487</v>
      </c>
      <c r="W54" s="29" t="s">
        <v>487</v>
      </c>
      <c r="X54" s="29" t="s">
        <v>488</v>
      </c>
      <c r="Y54" s="29" t="s">
        <v>488</v>
      </c>
      <c r="Z54" s="29" t="s">
        <v>488</v>
      </c>
      <c r="AA54" s="29" t="s">
        <v>488</v>
      </c>
    </row>
    <row r="55" spans="1:27" x14ac:dyDescent="0.25">
      <c r="A55" s="28">
        <v>31</v>
      </c>
      <c r="B55" s="187" t="s">
        <v>518</v>
      </c>
      <c r="C55" s="187" t="s">
        <v>518</v>
      </c>
      <c r="D55" s="187" t="s">
        <v>518</v>
      </c>
      <c r="E55" s="187" t="s">
        <v>518</v>
      </c>
      <c r="F55" s="140">
        <v>0.4</v>
      </c>
      <c r="G55" s="140">
        <v>0.4</v>
      </c>
      <c r="H55" s="187">
        <v>0.4</v>
      </c>
      <c r="I55" s="187">
        <v>0.4</v>
      </c>
      <c r="J55" s="29" t="s">
        <v>294</v>
      </c>
      <c r="K55" s="140">
        <v>1</v>
      </c>
      <c r="L55" s="140">
        <v>1</v>
      </c>
      <c r="M55" s="29" t="s">
        <v>484</v>
      </c>
      <c r="N55" s="29" t="s">
        <v>485</v>
      </c>
      <c r="O55" s="29" t="s">
        <v>486</v>
      </c>
      <c r="P55" s="29" t="s">
        <v>486</v>
      </c>
      <c r="Q55" s="140">
        <v>2.5329999999999999</v>
      </c>
      <c r="R55" s="140">
        <v>2.5329999999999999</v>
      </c>
      <c r="S55" s="29">
        <v>2021</v>
      </c>
      <c r="T55" s="29" t="s">
        <v>294</v>
      </c>
      <c r="U55" s="29" t="s">
        <v>294</v>
      </c>
      <c r="V55" s="29" t="s">
        <v>487</v>
      </c>
      <c r="W55" s="29" t="s">
        <v>487</v>
      </c>
      <c r="X55" s="29" t="s">
        <v>488</v>
      </c>
      <c r="Y55" s="29" t="s">
        <v>488</v>
      </c>
      <c r="Z55" s="29" t="s">
        <v>488</v>
      </c>
      <c r="AA55" s="29" t="s">
        <v>488</v>
      </c>
    </row>
    <row r="56" spans="1:27" x14ac:dyDescent="0.25">
      <c r="A56" s="28">
        <v>32</v>
      </c>
      <c r="B56" s="187" t="s">
        <v>519</v>
      </c>
      <c r="C56" s="187" t="s">
        <v>519</v>
      </c>
      <c r="D56" s="187" t="s">
        <v>519</v>
      </c>
      <c r="E56" s="187" t="s">
        <v>519</v>
      </c>
      <c r="F56" s="140">
        <v>0.4</v>
      </c>
      <c r="G56" s="140">
        <v>0.4</v>
      </c>
      <c r="H56" s="187">
        <v>0.4</v>
      </c>
      <c r="I56" s="187">
        <v>0.4</v>
      </c>
      <c r="J56" s="29" t="s">
        <v>294</v>
      </c>
      <c r="K56" s="140">
        <v>1</v>
      </c>
      <c r="L56" s="140">
        <v>1</v>
      </c>
      <c r="M56" s="29" t="s">
        <v>484</v>
      </c>
      <c r="N56" s="29" t="s">
        <v>485</v>
      </c>
      <c r="O56" s="29" t="s">
        <v>486</v>
      </c>
      <c r="P56" s="29" t="s">
        <v>486</v>
      </c>
      <c r="Q56" s="140">
        <v>1.175</v>
      </c>
      <c r="R56" s="140">
        <v>1.175</v>
      </c>
      <c r="S56" s="29">
        <v>2021</v>
      </c>
      <c r="T56" s="29" t="s">
        <v>294</v>
      </c>
      <c r="U56" s="29" t="s">
        <v>294</v>
      </c>
      <c r="V56" s="29" t="s">
        <v>487</v>
      </c>
      <c r="W56" s="29" t="s">
        <v>487</v>
      </c>
      <c r="X56" s="29" t="s">
        <v>488</v>
      </c>
      <c r="Y56" s="29" t="s">
        <v>488</v>
      </c>
      <c r="Z56" s="29" t="s">
        <v>488</v>
      </c>
      <c r="AA56" s="29" t="s">
        <v>488</v>
      </c>
    </row>
    <row r="57" spans="1:27" x14ac:dyDescent="0.25">
      <c r="A57" s="28">
        <v>33</v>
      </c>
      <c r="B57" s="187" t="s">
        <v>520</v>
      </c>
      <c r="C57" s="187" t="s">
        <v>520</v>
      </c>
      <c r="D57" s="187" t="s">
        <v>520</v>
      </c>
      <c r="E57" s="187" t="s">
        <v>520</v>
      </c>
      <c r="F57" s="140">
        <v>0.4</v>
      </c>
      <c r="G57" s="140">
        <v>0.4</v>
      </c>
      <c r="H57" s="187">
        <v>0.4</v>
      </c>
      <c r="I57" s="187">
        <v>0.4</v>
      </c>
      <c r="J57" s="29" t="s">
        <v>294</v>
      </c>
      <c r="K57" s="140">
        <v>1</v>
      </c>
      <c r="L57" s="140">
        <v>1</v>
      </c>
      <c r="M57" s="29" t="s">
        <v>484</v>
      </c>
      <c r="N57" s="29" t="s">
        <v>485</v>
      </c>
      <c r="O57" s="29" t="s">
        <v>486</v>
      </c>
      <c r="P57" s="29" t="s">
        <v>486</v>
      </c>
      <c r="Q57" s="140">
        <v>2.3340000000000001</v>
      </c>
      <c r="R57" s="140">
        <v>2.3340000000000001</v>
      </c>
      <c r="S57" s="29">
        <v>2021</v>
      </c>
      <c r="T57" s="29" t="s">
        <v>294</v>
      </c>
      <c r="U57" s="29" t="s">
        <v>294</v>
      </c>
      <c r="V57" s="29" t="s">
        <v>487</v>
      </c>
      <c r="W57" s="29" t="s">
        <v>487</v>
      </c>
      <c r="X57" s="29" t="s">
        <v>488</v>
      </c>
      <c r="Y57" s="29" t="s">
        <v>488</v>
      </c>
      <c r="Z57" s="29" t="s">
        <v>488</v>
      </c>
      <c r="AA57" s="29" t="s">
        <v>488</v>
      </c>
    </row>
    <row r="58" spans="1:27" x14ac:dyDescent="0.25">
      <c r="A58" s="28">
        <v>34</v>
      </c>
      <c r="B58" s="187" t="s">
        <v>521</v>
      </c>
      <c r="C58" s="187" t="s">
        <v>521</v>
      </c>
      <c r="D58" s="187" t="s">
        <v>521</v>
      </c>
      <c r="E58" s="187" t="s">
        <v>521</v>
      </c>
      <c r="F58" s="140">
        <v>0.4</v>
      </c>
      <c r="G58" s="140">
        <v>0.4</v>
      </c>
      <c r="H58" s="187">
        <v>0.4</v>
      </c>
      <c r="I58" s="187">
        <v>0.4</v>
      </c>
      <c r="J58" s="29" t="s">
        <v>294</v>
      </c>
      <c r="K58" s="140">
        <v>1</v>
      </c>
      <c r="L58" s="140">
        <v>1</v>
      </c>
      <c r="M58" s="29" t="s">
        <v>484</v>
      </c>
      <c r="N58" s="29" t="s">
        <v>485</v>
      </c>
      <c r="O58" s="29" t="s">
        <v>486</v>
      </c>
      <c r="P58" s="29" t="s">
        <v>486</v>
      </c>
      <c r="Q58" s="140">
        <v>1.4750000000000001</v>
      </c>
      <c r="R58" s="140">
        <v>1.4750000000000001</v>
      </c>
      <c r="S58" s="29">
        <v>2021</v>
      </c>
      <c r="T58" s="29" t="s">
        <v>294</v>
      </c>
      <c r="U58" s="29" t="s">
        <v>294</v>
      </c>
      <c r="V58" s="29" t="s">
        <v>487</v>
      </c>
      <c r="W58" s="29" t="s">
        <v>487</v>
      </c>
      <c r="X58" s="29" t="s">
        <v>488</v>
      </c>
      <c r="Y58" s="29" t="s">
        <v>488</v>
      </c>
      <c r="Z58" s="29" t="s">
        <v>488</v>
      </c>
      <c r="AA58" s="29" t="s">
        <v>488</v>
      </c>
    </row>
    <row r="59" spans="1:27" x14ac:dyDescent="0.25">
      <c r="A59" s="28">
        <v>35</v>
      </c>
      <c r="B59" s="187" t="s">
        <v>522</v>
      </c>
      <c r="C59" s="187" t="s">
        <v>522</v>
      </c>
      <c r="D59" s="187" t="s">
        <v>522</v>
      </c>
      <c r="E59" s="187" t="s">
        <v>522</v>
      </c>
      <c r="F59" s="140">
        <v>0.4</v>
      </c>
      <c r="G59" s="140">
        <v>0.4</v>
      </c>
      <c r="H59" s="187">
        <v>0.4</v>
      </c>
      <c r="I59" s="187">
        <v>0.4</v>
      </c>
      <c r="J59" s="29" t="s">
        <v>294</v>
      </c>
      <c r="K59" s="140">
        <v>1</v>
      </c>
      <c r="L59" s="140">
        <v>1</v>
      </c>
      <c r="M59" s="29" t="s">
        <v>484</v>
      </c>
      <c r="N59" s="29" t="s">
        <v>485</v>
      </c>
      <c r="O59" s="29" t="s">
        <v>486</v>
      </c>
      <c r="P59" s="29" t="s">
        <v>486</v>
      </c>
      <c r="Q59" s="140">
        <v>2.347</v>
      </c>
      <c r="R59" s="140">
        <v>2.347</v>
      </c>
      <c r="S59" s="29">
        <v>2021</v>
      </c>
      <c r="T59" s="29" t="s">
        <v>294</v>
      </c>
      <c r="U59" s="29" t="s">
        <v>294</v>
      </c>
      <c r="V59" s="29" t="s">
        <v>487</v>
      </c>
      <c r="W59" s="29" t="s">
        <v>487</v>
      </c>
      <c r="X59" s="29" t="s">
        <v>488</v>
      </c>
      <c r="Y59" s="29" t="s">
        <v>488</v>
      </c>
      <c r="Z59" s="29" t="s">
        <v>488</v>
      </c>
      <c r="AA59" s="29" t="s">
        <v>488</v>
      </c>
    </row>
    <row r="60" spans="1:27" x14ac:dyDescent="0.25">
      <c r="A60" s="28">
        <v>36</v>
      </c>
      <c r="B60" s="187" t="s">
        <v>523</v>
      </c>
      <c r="C60" s="187" t="s">
        <v>523</v>
      </c>
      <c r="D60" s="187" t="s">
        <v>523</v>
      </c>
      <c r="E60" s="187" t="s">
        <v>523</v>
      </c>
      <c r="F60" s="140">
        <v>0.4</v>
      </c>
      <c r="G60" s="140">
        <v>0.4</v>
      </c>
      <c r="H60" s="187">
        <v>0.4</v>
      </c>
      <c r="I60" s="187">
        <v>0.4</v>
      </c>
      <c r="J60" s="29" t="s">
        <v>294</v>
      </c>
      <c r="K60" s="140">
        <v>1</v>
      </c>
      <c r="L60" s="140">
        <v>1</v>
      </c>
      <c r="M60" s="29" t="s">
        <v>484</v>
      </c>
      <c r="N60" s="29" t="s">
        <v>485</v>
      </c>
      <c r="O60" s="29" t="s">
        <v>486</v>
      </c>
      <c r="P60" s="29" t="s">
        <v>486</v>
      </c>
      <c r="Q60" s="140">
        <v>2.4420000000000002</v>
      </c>
      <c r="R60" s="140">
        <v>2.4420000000000002</v>
      </c>
      <c r="S60" s="29">
        <v>2021</v>
      </c>
      <c r="T60" s="29" t="s">
        <v>294</v>
      </c>
      <c r="U60" s="29" t="s">
        <v>294</v>
      </c>
      <c r="V60" s="29" t="s">
        <v>487</v>
      </c>
      <c r="W60" s="29" t="s">
        <v>487</v>
      </c>
      <c r="X60" s="29" t="s">
        <v>488</v>
      </c>
      <c r="Y60" s="29" t="s">
        <v>488</v>
      </c>
      <c r="Z60" s="29" t="s">
        <v>488</v>
      </c>
      <c r="AA60" s="29" t="s">
        <v>488</v>
      </c>
    </row>
    <row r="61" spans="1:27" x14ac:dyDescent="0.25">
      <c r="A61" s="28">
        <v>37</v>
      </c>
      <c r="B61" s="187" t="s">
        <v>524</v>
      </c>
      <c r="C61" s="187" t="s">
        <v>524</v>
      </c>
      <c r="D61" s="187" t="s">
        <v>524</v>
      </c>
      <c r="E61" s="187" t="s">
        <v>524</v>
      </c>
      <c r="F61" s="140">
        <v>0.4</v>
      </c>
      <c r="G61" s="140">
        <v>0.4</v>
      </c>
      <c r="H61" s="187">
        <v>0.4</v>
      </c>
      <c r="I61" s="187">
        <v>0.4</v>
      </c>
      <c r="J61" s="29" t="s">
        <v>294</v>
      </c>
      <c r="K61" s="140">
        <v>1</v>
      </c>
      <c r="L61" s="140">
        <v>1</v>
      </c>
      <c r="M61" s="29" t="s">
        <v>484</v>
      </c>
      <c r="N61" s="29" t="s">
        <v>485</v>
      </c>
      <c r="O61" s="29" t="s">
        <v>486</v>
      </c>
      <c r="P61" s="29" t="s">
        <v>486</v>
      </c>
      <c r="Q61" s="140">
        <v>3.9430000000000001</v>
      </c>
      <c r="R61" s="140">
        <v>3.9430000000000001</v>
      </c>
      <c r="S61" s="29">
        <v>2021</v>
      </c>
      <c r="T61" s="29" t="s">
        <v>294</v>
      </c>
      <c r="U61" s="29" t="s">
        <v>294</v>
      </c>
      <c r="V61" s="29" t="s">
        <v>487</v>
      </c>
      <c r="W61" s="29" t="s">
        <v>487</v>
      </c>
      <c r="X61" s="29" t="s">
        <v>488</v>
      </c>
      <c r="Y61" s="29" t="s">
        <v>488</v>
      </c>
      <c r="Z61" s="29" t="s">
        <v>488</v>
      </c>
      <c r="AA61" s="29" t="s">
        <v>488</v>
      </c>
    </row>
    <row r="62" spans="1:27" x14ac:dyDescent="0.25">
      <c r="A62" s="28">
        <v>38</v>
      </c>
      <c r="B62" s="29" t="s">
        <v>294</v>
      </c>
      <c r="C62" s="187" t="s">
        <v>525</v>
      </c>
      <c r="D62" s="29" t="s">
        <v>294</v>
      </c>
      <c r="E62" s="187" t="s">
        <v>525</v>
      </c>
      <c r="F62" s="140">
        <v>10</v>
      </c>
      <c r="G62" s="140">
        <v>10</v>
      </c>
      <c r="H62" s="187">
        <v>10</v>
      </c>
      <c r="I62" s="187">
        <v>10</v>
      </c>
      <c r="J62" s="29" t="s">
        <v>294</v>
      </c>
      <c r="K62" s="140">
        <v>1</v>
      </c>
      <c r="L62" s="140">
        <v>1</v>
      </c>
      <c r="M62" s="29" t="s">
        <v>294</v>
      </c>
      <c r="N62" s="29" t="s">
        <v>526</v>
      </c>
      <c r="O62" s="29" t="s">
        <v>486</v>
      </c>
      <c r="P62" s="29" t="s">
        <v>486</v>
      </c>
      <c r="Q62" s="140">
        <v>0.29699999999999999</v>
      </c>
      <c r="R62" s="140">
        <v>0.29699999999999999</v>
      </c>
      <c r="S62" s="29">
        <v>2021</v>
      </c>
      <c r="T62" s="29" t="s">
        <v>294</v>
      </c>
      <c r="U62" s="29" t="s">
        <v>294</v>
      </c>
      <c r="V62" s="29" t="s">
        <v>294</v>
      </c>
      <c r="W62" s="29" t="s">
        <v>527</v>
      </c>
      <c r="X62" s="29" t="s">
        <v>488</v>
      </c>
      <c r="Y62" s="29" t="s">
        <v>488</v>
      </c>
      <c r="Z62" s="29" t="s">
        <v>488</v>
      </c>
      <c r="AA62" s="29" t="s">
        <v>488</v>
      </c>
    </row>
    <row r="63" spans="1:27" x14ac:dyDescent="0.25">
      <c r="A63" s="28">
        <v>39</v>
      </c>
      <c r="B63" s="29" t="s">
        <v>294</v>
      </c>
      <c r="C63" s="187" t="s">
        <v>528</v>
      </c>
      <c r="D63" s="29" t="s">
        <v>294</v>
      </c>
      <c r="E63" s="187" t="s">
        <v>528</v>
      </c>
      <c r="F63" s="140">
        <v>10</v>
      </c>
      <c r="G63" s="140">
        <v>10</v>
      </c>
      <c r="H63" s="187">
        <v>10</v>
      </c>
      <c r="I63" s="187">
        <v>10</v>
      </c>
      <c r="J63" s="29" t="s">
        <v>294</v>
      </c>
      <c r="K63" s="140">
        <v>1</v>
      </c>
      <c r="L63" s="140">
        <v>1</v>
      </c>
      <c r="M63" s="29" t="s">
        <v>294</v>
      </c>
      <c r="N63" s="29" t="s">
        <v>526</v>
      </c>
      <c r="O63" s="29" t="s">
        <v>486</v>
      </c>
      <c r="P63" s="29" t="s">
        <v>486</v>
      </c>
      <c r="Q63" s="140">
        <v>0.754</v>
      </c>
      <c r="R63" s="140">
        <v>0.754</v>
      </c>
      <c r="S63" s="29">
        <v>2021</v>
      </c>
      <c r="T63" s="29" t="s">
        <v>294</v>
      </c>
      <c r="U63" s="29" t="s">
        <v>294</v>
      </c>
      <c r="V63" s="29" t="s">
        <v>294</v>
      </c>
      <c r="W63" s="29" t="s">
        <v>527</v>
      </c>
      <c r="X63" s="29" t="s">
        <v>488</v>
      </c>
      <c r="Y63" s="29" t="s">
        <v>488</v>
      </c>
      <c r="Z63" s="29" t="s">
        <v>488</v>
      </c>
      <c r="AA63" s="29" t="s">
        <v>488</v>
      </c>
    </row>
    <row r="64" spans="1:27" x14ac:dyDescent="0.25">
      <c r="A64" s="28">
        <v>40</v>
      </c>
      <c r="B64" s="29" t="s">
        <v>294</v>
      </c>
      <c r="C64" s="187" t="s">
        <v>529</v>
      </c>
      <c r="D64" s="29" t="s">
        <v>294</v>
      </c>
      <c r="E64" s="187" t="s">
        <v>529</v>
      </c>
      <c r="F64" s="140">
        <v>10</v>
      </c>
      <c r="G64" s="140">
        <v>10</v>
      </c>
      <c r="H64" s="187">
        <v>10</v>
      </c>
      <c r="I64" s="187">
        <v>10</v>
      </c>
      <c r="J64" s="29" t="s">
        <v>294</v>
      </c>
      <c r="K64" s="140">
        <v>1</v>
      </c>
      <c r="L64" s="140">
        <v>1</v>
      </c>
      <c r="M64" s="29" t="s">
        <v>294</v>
      </c>
      <c r="N64" s="29" t="s">
        <v>526</v>
      </c>
      <c r="O64" s="29" t="s">
        <v>486</v>
      </c>
      <c r="P64" s="29" t="s">
        <v>486</v>
      </c>
      <c r="Q64" s="140">
        <v>0.317</v>
      </c>
      <c r="R64" s="140">
        <v>0.317</v>
      </c>
      <c r="S64" s="29">
        <v>2021</v>
      </c>
      <c r="T64" s="29" t="s">
        <v>294</v>
      </c>
      <c r="U64" s="29" t="s">
        <v>294</v>
      </c>
      <c r="V64" s="29" t="s">
        <v>294</v>
      </c>
      <c r="W64" s="29" t="s">
        <v>527</v>
      </c>
      <c r="X64" s="29" t="s">
        <v>488</v>
      </c>
      <c r="Y64" s="29" t="s">
        <v>488</v>
      </c>
      <c r="Z64" s="29" t="s">
        <v>488</v>
      </c>
      <c r="AA64" s="29" t="s">
        <v>488</v>
      </c>
    </row>
    <row r="65" spans="1:27" x14ac:dyDescent="0.25">
      <c r="A65" s="28">
        <v>41</v>
      </c>
      <c r="B65" s="29" t="s">
        <v>294</v>
      </c>
      <c r="C65" s="187" t="s">
        <v>530</v>
      </c>
      <c r="D65" s="29" t="s">
        <v>294</v>
      </c>
      <c r="E65" s="187" t="s">
        <v>530</v>
      </c>
      <c r="F65" s="140">
        <v>10</v>
      </c>
      <c r="G65" s="140">
        <v>10</v>
      </c>
      <c r="H65" s="187">
        <v>10</v>
      </c>
      <c r="I65" s="187">
        <v>10</v>
      </c>
      <c r="J65" s="29" t="s">
        <v>294</v>
      </c>
      <c r="K65" s="140">
        <v>1</v>
      </c>
      <c r="L65" s="140">
        <v>1</v>
      </c>
      <c r="M65" s="29" t="s">
        <v>294</v>
      </c>
      <c r="N65" s="29" t="s">
        <v>526</v>
      </c>
      <c r="O65" s="29" t="s">
        <v>486</v>
      </c>
      <c r="P65" s="29" t="s">
        <v>486</v>
      </c>
      <c r="Q65" s="140">
        <v>0.48099999999999998</v>
      </c>
      <c r="R65" s="140">
        <v>0.48099999999999998</v>
      </c>
      <c r="S65" s="29">
        <v>2021</v>
      </c>
      <c r="T65" s="29" t="s">
        <v>294</v>
      </c>
      <c r="U65" s="29" t="s">
        <v>294</v>
      </c>
      <c r="V65" s="29" t="s">
        <v>294</v>
      </c>
      <c r="W65" s="29" t="s">
        <v>527</v>
      </c>
      <c r="X65" s="29" t="s">
        <v>488</v>
      </c>
      <c r="Y65" s="29" t="s">
        <v>488</v>
      </c>
      <c r="Z65" s="29" t="s">
        <v>488</v>
      </c>
      <c r="AA65" s="29" t="s">
        <v>488</v>
      </c>
    </row>
    <row r="66" spans="1:27" x14ac:dyDescent="0.25">
      <c r="A66" s="28">
        <v>42</v>
      </c>
      <c r="B66" s="29" t="s">
        <v>294</v>
      </c>
      <c r="C66" s="187" t="s">
        <v>531</v>
      </c>
      <c r="D66" s="29" t="s">
        <v>294</v>
      </c>
      <c r="E66" s="187" t="s">
        <v>531</v>
      </c>
      <c r="F66" s="140">
        <v>10</v>
      </c>
      <c r="G66" s="140">
        <v>10</v>
      </c>
      <c r="H66" s="187">
        <v>10</v>
      </c>
      <c r="I66" s="187">
        <v>10</v>
      </c>
      <c r="J66" s="29" t="s">
        <v>294</v>
      </c>
      <c r="K66" s="140">
        <v>1</v>
      </c>
      <c r="L66" s="140">
        <v>1</v>
      </c>
      <c r="M66" s="29" t="s">
        <v>294</v>
      </c>
      <c r="N66" s="29" t="s">
        <v>526</v>
      </c>
      <c r="O66" s="29" t="s">
        <v>486</v>
      </c>
      <c r="P66" s="29" t="s">
        <v>486</v>
      </c>
      <c r="Q66" s="140">
        <v>0.39300000000000002</v>
      </c>
      <c r="R66" s="140">
        <v>0.39300000000000002</v>
      </c>
      <c r="S66" s="29">
        <v>2021</v>
      </c>
      <c r="T66" s="29" t="s">
        <v>294</v>
      </c>
      <c r="U66" s="29" t="s">
        <v>294</v>
      </c>
      <c r="V66" s="29" t="s">
        <v>294</v>
      </c>
      <c r="W66" s="29" t="s">
        <v>527</v>
      </c>
      <c r="X66" s="29" t="s">
        <v>488</v>
      </c>
      <c r="Y66" s="29" t="s">
        <v>488</v>
      </c>
      <c r="Z66" s="29" t="s">
        <v>488</v>
      </c>
      <c r="AA66" s="29" t="s">
        <v>488</v>
      </c>
    </row>
    <row r="67" spans="1:27" x14ac:dyDescent="0.25">
      <c r="A67" s="28">
        <v>43</v>
      </c>
      <c r="B67" s="29" t="s">
        <v>294</v>
      </c>
      <c r="C67" s="187" t="s">
        <v>532</v>
      </c>
      <c r="D67" s="29" t="s">
        <v>294</v>
      </c>
      <c r="E67" s="187" t="s">
        <v>532</v>
      </c>
      <c r="F67" s="140">
        <v>10</v>
      </c>
      <c r="G67" s="140">
        <v>10</v>
      </c>
      <c r="H67" s="187">
        <v>10</v>
      </c>
      <c r="I67" s="187">
        <v>10</v>
      </c>
      <c r="J67" s="29" t="s">
        <v>294</v>
      </c>
      <c r="K67" s="140">
        <v>1</v>
      </c>
      <c r="L67" s="140">
        <v>1</v>
      </c>
      <c r="M67" s="29" t="s">
        <v>294</v>
      </c>
      <c r="N67" s="29" t="s">
        <v>526</v>
      </c>
      <c r="O67" s="29" t="s">
        <v>486</v>
      </c>
      <c r="P67" s="29" t="s">
        <v>486</v>
      </c>
      <c r="Q67" s="140">
        <v>0.36299999999999999</v>
      </c>
      <c r="R67" s="140">
        <v>0.36299999999999999</v>
      </c>
      <c r="S67" s="29">
        <v>2021</v>
      </c>
      <c r="T67" s="29" t="s">
        <v>294</v>
      </c>
      <c r="U67" s="29" t="s">
        <v>294</v>
      </c>
      <c r="V67" s="29" t="s">
        <v>294</v>
      </c>
      <c r="W67" s="29" t="s">
        <v>527</v>
      </c>
      <c r="X67" s="29" t="s">
        <v>488</v>
      </c>
      <c r="Y67" s="29" t="s">
        <v>488</v>
      </c>
      <c r="Z67" s="29" t="s">
        <v>488</v>
      </c>
      <c r="AA67" s="29" t="s">
        <v>488</v>
      </c>
    </row>
    <row r="68" spans="1:27" x14ac:dyDescent="0.25">
      <c r="A68" s="28">
        <v>44</v>
      </c>
      <c r="B68" s="29" t="s">
        <v>294</v>
      </c>
      <c r="C68" s="187" t="s">
        <v>533</v>
      </c>
      <c r="D68" s="29" t="s">
        <v>294</v>
      </c>
      <c r="E68" s="187" t="s">
        <v>533</v>
      </c>
      <c r="F68" s="140">
        <v>10</v>
      </c>
      <c r="G68" s="140">
        <v>10</v>
      </c>
      <c r="H68" s="187">
        <v>10</v>
      </c>
      <c r="I68" s="187">
        <v>10</v>
      </c>
      <c r="J68" s="29" t="s">
        <v>294</v>
      </c>
      <c r="K68" s="140">
        <v>1</v>
      </c>
      <c r="L68" s="140">
        <v>1</v>
      </c>
      <c r="M68" s="29" t="s">
        <v>294</v>
      </c>
      <c r="N68" s="29" t="s">
        <v>526</v>
      </c>
      <c r="O68" s="29" t="s">
        <v>486</v>
      </c>
      <c r="P68" s="29" t="s">
        <v>486</v>
      </c>
      <c r="Q68" s="140">
        <v>0.46800000000000003</v>
      </c>
      <c r="R68" s="140">
        <v>0.46800000000000003</v>
      </c>
      <c r="S68" s="29">
        <v>2021</v>
      </c>
      <c r="T68" s="29" t="s">
        <v>294</v>
      </c>
      <c r="U68" s="29" t="s">
        <v>294</v>
      </c>
      <c r="V68" s="29" t="s">
        <v>294</v>
      </c>
      <c r="W68" s="29" t="s">
        <v>527</v>
      </c>
      <c r="X68" s="29" t="s">
        <v>488</v>
      </c>
      <c r="Y68" s="29" t="s">
        <v>488</v>
      </c>
      <c r="Z68" s="29" t="s">
        <v>488</v>
      </c>
      <c r="AA68" s="29" t="s">
        <v>488</v>
      </c>
    </row>
    <row r="69" spans="1:27" x14ac:dyDescent="0.25">
      <c r="A69" s="28">
        <v>45</v>
      </c>
      <c r="B69" s="29" t="s">
        <v>294</v>
      </c>
      <c r="C69" s="187" t="s">
        <v>534</v>
      </c>
      <c r="D69" s="29" t="s">
        <v>294</v>
      </c>
      <c r="E69" s="187" t="s">
        <v>534</v>
      </c>
      <c r="F69" s="140">
        <v>10</v>
      </c>
      <c r="G69" s="140">
        <v>10</v>
      </c>
      <c r="H69" s="187">
        <v>10</v>
      </c>
      <c r="I69" s="187">
        <v>10</v>
      </c>
      <c r="J69" s="29" t="s">
        <v>294</v>
      </c>
      <c r="K69" s="140">
        <v>1</v>
      </c>
      <c r="L69" s="140">
        <v>1</v>
      </c>
      <c r="M69" s="29" t="s">
        <v>294</v>
      </c>
      <c r="N69" s="29" t="s">
        <v>526</v>
      </c>
      <c r="O69" s="29" t="s">
        <v>486</v>
      </c>
      <c r="P69" s="29" t="s">
        <v>486</v>
      </c>
      <c r="Q69" s="140">
        <v>0.309</v>
      </c>
      <c r="R69" s="140">
        <v>0.309</v>
      </c>
      <c r="S69" s="29">
        <v>2021</v>
      </c>
      <c r="T69" s="29" t="s">
        <v>294</v>
      </c>
      <c r="U69" s="29" t="s">
        <v>294</v>
      </c>
      <c r="V69" s="29" t="s">
        <v>294</v>
      </c>
      <c r="W69" s="29" t="s">
        <v>527</v>
      </c>
      <c r="X69" s="29" t="s">
        <v>488</v>
      </c>
      <c r="Y69" s="29" t="s">
        <v>488</v>
      </c>
      <c r="Z69" s="29" t="s">
        <v>488</v>
      </c>
      <c r="AA69" s="29" t="s">
        <v>488</v>
      </c>
    </row>
    <row r="70" spans="1:27" x14ac:dyDescent="0.25">
      <c r="A70" s="28">
        <v>46</v>
      </c>
      <c r="B70" s="29" t="s">
        <v>294</v>
      </c>
      <c r="C70" s="187" t="s">
        <v>535</v>
      </c>
      <c r="D70" s="29" t="s">
        <v>294</v>
      </c>
      <c r="E70" s="187" t="s">
        <v>535</v>
      </c>
      <c r="F70" s="140">
        <v>10</v>
      </c>
      <c r="G70" s="140">
        <v>10</v>
      </c>
      <c r="H70" s="187">
        <v>10</v>
      </c>
      <c r="I70" s="187">
        <v>10</v>
      </c>
      <c r="J70" s="29" t="s">
        <v>294</v>
      </c>
      <c r="K70" s="140">
        <v>1</v>
      </c>
      <c r="L70" s="140">
        <v>1</v>
      </c>
      <c r="M70" s="29" t="s">
        <v>294</v>
      </c>
      <c r="N70" s="29" t="s">
        <v>526</v>
      </c>
      <c r="O70" s="29" t="s">
        <v>486</v>
      </c>
      <c r="P70" s="29" t="s">
        <v>486</v>
      </c>
      <c r="Q70" s="140">
        <v>0.503</v>
      </c>
      <c r="R70" s="140">
        <v>0.503</v>
      </c>
      <c r="S70" s="29">
        <v>2021</v>
      </c>
      <c r="T70" s="29" t="s">
        <v>294</v>
      </c>
      <c r="U70" s="29" t="s">
        <v>294</v>
      </c>
      <c r="V70" s="29" t="s">
        <v>294</v>
      </c>
      <c r="W70" s="29" t="s">
        <v>527</v>
      </c>
      <c r="X70" s="29" t="s">
        <v>488</v>
      </c>
      <c r="Y70" s="29" t="s">
        <v>488</v>
      </c>
      <c r="Z70" s="29" t="s">
        <v>488</v>
      </c>
      <c r="AA70" s="29" t="s">
        <v>488</v>
      </c>
    </row>
    <row r="71" spans="1:27" x14ac:dyDescent="0.25">
      <c r="A71" s="28">
        <v>47</v>
      </c>
      <c r="B71" s="29" t="s">
        <v>294</v>
      </c>
      <c r="C71" s="187" t="s">
        <v>536</v>
      </c>
      <c r="D71" s="29" t="s">
        <v>294</v>
      </c>
      <c r="E71" s="187" t="s">
        <v>536</v>
      </c>
      <c r="F71" s="140">
        <v>10</v>
      </c>
      <c r="G71" s="140">
        <v>10</v>
      </c>
      <c r="H71" s="187">
        <v>10</v>
      </c>
      <c r="I71" s="187">
        <v>10</v>
      </c>
      <c r="J71" s="29" t="s">
        <v>294</v>
      </c>
      <c r="K71" s="140">
        <v>1</v>
      </c>
      <c r="L71" s="140">
        <v>1</v>
      </c>
      <c r="M71" s="29" t="s">
        <v>294</v>
      </c>
      <c r="N71" s="29" t="s">
        <v>526</v>
      </c>
      <c r="O71" s="29" t="s">
        <v>486</v>
      </c>
      <c r="P71" s="29" t="s">
        <v>486</v>
      </c>
      <c r="Q71" s="140">
        <v>0.59499999999999997</v>
      </c>
      <c r="R71" s="140">
        <v>0.59499999999999997</v>
      </c>
      <c r="S71" s="29">
        <v>2021</v>
      </c>
      <c r="T71" s="29" t="s">
        <v>294</v>
      </c>
      <c r="U71" s="29" t="s">
        <v>294</v>
      </c>
      <c r="V71" s="29" t="s">
        <v>294</v>
      </c>
      <c r="W71" s="29" t="s">
        <v>527</v>
      </c>
      <c r="X71" s="29" t="s">
        <v>488</v>
      </c>
      <c r="Y71" s="29" t="s">
        <v>488</v>
      </c>
      <c r="Z71" s="29" t="s">
        <v>488</v>
      </c>
      <c r="AA71" s="29" t="s">
        <v>488</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7"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179.5703125" style="123" bestFit="1"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41" t="str">
        <f>'1. паспорт местоположение'!$A$5</f>
        <v>Год раскрытия информации: 2025 год</v>
      </c>
      <c r="B5" s="241"/>
      <c r="C5" s="241"/>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45" t="s">
        <v>5</v>
      </c>
      <c r="B7" s="245"/>
      <c r="C7" s="245"/>
      <c r="D7" s="17"/>
      <c r="E7" s="17"/>
      <c r="F7" s="17"/>
      <c r="G7" s="17"/>
      <c r="H7" s="17"/>
      <c r="I7" s="17"/>
      <c r="J7" s="17"/>
      <c r="K7" s="17"/>
      <c r="L7" s="17"/>
      <c r="M7" s="17"/>
      <c r="N7" s="17"/>
      <c r="O7" s="17"/>
      <c r="P7" s="17"/>
      <c r="Q7" s="17"/>
      <c r="R7" s="17"/>
      <c r="S7" s="17"/>
      <c r="T7" s="17"/>
      <c r="U7" s="17"/>
    </row>
    <row r="8" spans="1:29" s="78" customFormat="1" ht="18.75" x14ac:dyDescent="0.2">
      <c r="A8" s="245"/>
      <c r="B8" s="245"/>
      <c r="C8" s="245"/>
      <c r="D8" s="83"/>
      <c r="E8" s="83"/>
      <c r="F8" s="83"/>
      <c r="G8" s="83"/>
      <c r="H8" s="17"/>
      <c r="I8" s="17"/>
      <c r="J8" s="17"/>
      <c r="K8" s="17"/>
      <c r="L8" s="17"/>
      <c r="M8" s="17"/>
      <c r="N8" s="17"/>
      <c r="O8" s="17"/>
      <c r="P8" s="17"/>
      <c r="Q8" s="17"/>
      <c r="R8" s="17"/>
      <c r="S8" s="17"/>
      <c r="T8" s="17"/>
      <c r="U8" s="17"/>
    </row>
    <row r="9" spans="1:29" s="78" customFormat="1" ht="18.75" x14ac:dyDescent="0.2">
      <c r="A9" s="246" t="s">
        <v>264</v>
      </c>
      <c r="B9" s="246"/>
      <c r="C9" s="246"/>
      <c r="D9" s="18"/>
      <c r="E9" s="18"/>
      <c r="F9" s="18"/>
      <c r="G9" s="18"/>
      <c r="H9" s="17"/>
      <c r="I9" s="17"/>
      <c r="J9" s="17"/>
      <c r="K9" s="17"/>
      <c r="L9" s="17"/>
      <c r="M9" s="17"/>
      <c r="N9" s="17"/>
      <c r="O9" s="17"/>
      <c r="P9" s="17"/>
      <c r="Q9" s="17"/>
      <c r="R9" s="17"/>
      <c r="S9" s="17"/>
      <c r="T9" s="17"/>
      <c r="U9" s="17"/>
    </row>
    <row r="10" spans="1:29" s="78" customFormat="1" ht="18.75" x14ac:dyDescent="0.2">
      <c r="A10" s="251" t="s">
        <v>4</v>
      </c>
      <c r="B10" s="251"/>
      <c r="C10" s="251"/>
      <c r="D10" s="15"/>
      <c r="E10" s="15"/>
      <c r="F10" s="15"/>
      <c r="G10" s="15"/>
      <c r="H10" s="17"/>
      <c r="I10" s="17"/>
      <c r="J10" s="17"/>
      <c r="K10" s="17"/>
      <c r="L10" s="17"/>
      <c r="M10" s="17"/>
      <c r="N10" s="17"/>
      <c r="O10" s="17"/>
      <c r="P10" s="17"/>
      <c r="Q10" s="17"/>
      <c r="R10" s="17"/>
      <c r="S10" s="17"/>
      <c r="T10" s="17"/>
      <c r="U10" s="17"/>
    </row>
    <row r="11" spans="1:29" s="78" customFormat="1" ht="18.75" x14ac:dyDescent="0.2">
      <c r="A11" s="245"/>
      <c r="B11" s="245"/>
      <c r="C11" s="245"/>
      <c r="D11" s="83"/>
      <c r="E11" s="83"/>
      <c r="F11" s="83"/>
      <c r="G11" s="83"/>
      <c r="H11" s="17"/>
      <c r="I11" s="17"/>
      <c r="J11" s="17"/>
      <c r="K11" s="17"/>
      <c r="L11" s="17"/>
      <c r="M11" s="17"/>
      <c r="N11" s="17"/>
      <c r="O11" s="17"/>
      <c r="P11" s="17"/>
      <c r="Q11" s="17"/>
      <c r="R11" s="17"/>
      <c r="S11" s="17"/>
      <c r="T11" s="17"/>
      <c r="U11" s="17"/>
    </row>
    <row r="12" spans="1:29" s="78" customFormat="1" ht="18.75" x14ac:dyDescent="0.2">
      <c r="A12" s="246" t="str">
        <f>'1. паспорт местоположение'!$A$12</f>
        <v>L_Che376</v>
      </c>
      <c r="B12" s="246"/>
      <c r="C12" s="246"/>
      <c r="D12" s="18"/>
      <c r="E12" s="18"/>
      <c r="F12" s="18"/>
      <c r="G12" s="18"/>
      <c r="H12" s="17"/>
      <c r="I12" s="17"/>
      <c r="J12" s="17"/>
      <c r="K12" s="17"/>
      <c r="L12" s="17"/>
      <c r="M12" s="17"/>
      <c r="N12" s="17"/>
      <c r="O12" s="17"/>
      <c r="P12" s="17"/>
      <c r="Q12" s="17"/>
      <c r="R12" s="17"/>
      <c r="S12" s="17"/>
      <c r="T12" s="17"/>
      <c r="U12" s="17"/>
    </row>
    <row r="13" spans="1:29" s="78" customFormat="1" ht="18.75" x14ac:dyDescent="0.2">
      <c r="A13" s="251" t="s">
        <v>3</v>
      </c>
      <c r="B13" s="251"/>
      <c r="C13" s="251"/>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79"/>
      <c r="B14" s="279"/>
      <c r="C14" s="279"/>
      <c r="D14" s="1"/>
      <c r="E14" s="1"/>
      <c r="F14" s="1"/>
      <c r="G14" s="1"/>
      <c r="H14" s="1"/>
      <c r="I14" s="1"/>
      <c r="J14" s="1"/>
      <c r="K14" s="1"/>
      <c r="L14" s="1"/>
      <c r="M14" s="1"/>
      <c r="N14" s="1"/>
      <c r="O14" s="1"/>
      <c r="P14" s="1"/>
      <c r="Q14" s="1"/>
      <c r="R14" s="1"/>
      <c r="S14" s="1"/>
      <c r="T14" s="1"/>
      <c r="U14" s="1"/>
    </row>
    <row r="15" spans="1:29" s="25" customFormat="1" ht="87.75" customHeight="1" x14ac:dyDescent="0.2">
      <c r="A15"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B15" s="252"/>
      <c r="C15" s="252"/>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51" t="s">
        <v>2</v>
      </c>
      <c r="B16" s="251"/>
      <c r="C16" s="251"/>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63"/>
      <c r="B17" s="263"/>
      <c r="C17" s="263"/>
      <c r="D17" s="79"/>
      <c r="E17" s="79"/>
      <c r="F17" s="79"/>
      <c r="G17" s="79"/>
      <c r="H17" s="79"/>
      <c r="I17" s="79"/>
      <c r="J17" s="79"/>
      <c r="K17" s="79"/>
      <c r="L17" s="79"/>
      <c r="M17" s="79"/>
      <c r="N17" s="79"/>
      <c r="O17" s="79"/>
      <c r="P17" s="79"/>
      <c r="Q17" s="79"/>
      <c r="R17" s="79"/>
    </row>
    <row r="18" spans="1:21" s="25" customFormat="1" ht="27.75" customHeight="1" x14ac:dyDescent="0.2">
      <c r="A18" s="257" t="s">
        <v>241</v>
      </c>
      <c r="B18" s="257"/>
      <c r="C18" s="257"/>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612</v>
      </c>
      <c r="D22" s="132"/>
      <c r="E22" s="132"/>
      <c r="F22" s="1"/>
      <c r="G22" s="1"/>
      <c r="H22" s="1"/>
      <c r="I22" s="1"/>
      <c r="J22" s="1"/>
      <c r="K22" s="1"/>
      <c r="L22" s="1"/>
      <c r="M22" s="1"/>
      <c r="N22" s="1"/>
      <c r="O22" s="1"/>
      <c r="P22" s="1"/>
      <c r="Q22" s="118"/>
      <c r="R22" s="118"/>
      <c r="S22" s="118"/>
      <c r="T22" s="118"/>
      <c r="U22" s="118"/>
    </row>
    <row r="23" spans="1:21" ht="113.25" customHeight="1" x14ac:dyDescent="0.25">
      <c r="A23" s="121" t="s">
        <v>17</v>
      </c>
      <c r="B23" s="134" t="s">
        <v>14</v>
      </c>
      <c r="C23" s="11" t="s">
        <v>613</v>
      </c>
      <c r="D23" s="122"/>
      <c r="E23" s="122"/>
      <c r="F23" s="122"/>
      <c r="G23" s="122"/>
      <c r="H23" s="122"/>
      <c r="I23" s="122"/>
      <c r="J23" s="122"/>
      <c r="K23" s="122"/>
      <c r="L23" s="122"/>
      <c r="M23" s="122"/>
      <c r="N23" s="122"/>
      <c r="O23" s="122"/>
      <c r="P23" s="122"/>
      <c r="Q23" s="122"/>
      <c r="R23" s="122"/>
      <c r="S23" s="122"/>
      <c r="T23" s="122"/>
      <c r="U23" s="122"/>
    </row>
    <row r="24" spans="1:21" ht="157.5" x14ac:dyDescent="0.25">
      <c r="A24" s="121" t="s">
        <v>16</v>
      </c>
      <c r="B24" s="134" t="s">
        <v>259</v>
      </c>
      <c r="C24" s="185" t="s">
        <v>482</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614</v>
      </c>
      <c r="D25" s="136" t="str">
        <f>IF(('6.2. Паспорт фин осв ввод'!D54)&gt;0,(ROUND(('6.2. Паспорт фин осв ввод'!D52/'6.2. Паспорт фин осв ввод'!D54),2)&amp;"млн.руб./МВА "),"-")</f>
        <v xml:space="preserve">24,78млн.руб./МВА </v>
      </c>
      <c r="E25" s="137" t="str">
        <f>IF(('6.2. Паспорт фин осв ввод'!D56)&gt;0,(ROUND(('6.2. Паспорт фин осв ввод'!D52/'6.2. Паспорт фин осв ввод'!D56),2)&amp;" млн.руб./км"),"-")</f>
        <v>1,17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72" t="s">
        <v>481</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2024</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з</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41" t="str">
        <f>'1. паспорт местоположение'!$A$5</f>
        <v>Год раскрытия информации: 2025 год</v>
      </c>
      <c r="H4" s="241"/>
      <c r="I4" s="241"/>
      <c r="J4" s="241"/>
    </row>
    <row r="5" spans="1:28" s="78" customFormat="1" ht="15.75" x14ac:dyDescent="0.2">
      <c r="G5" s="280"/>
      <c r="H5" s="280"/>
      <c r="I5" s="280"/>
      <c r="J5" s="280"/>
    </row>
    <row r="6" spans="1:28" s="78" customFormat="1" ht="18.75" x14ac:dyDescent="0.2">
      <c r="D6" s="17"/>
      <c r="E6" s="17"/>
      <c r="F6" s="17"/>
      <c r="G6" s="245" t="s">
        <v>5</v>
      </c>
      <c r="H6" s="245"/>
      <c r="I6" s="245"/>
      <c r="J6" s="245"/>
      <c r="K6" s="17"/>
      <c r="L6" s="17"/>
      <c r="M6" s="17"/>
      <c r="N6" s="17"/>
      <c r="O6" s="17"/>
      <c r="P6" s="17"/>
      <c r="Q6" s="17"/>
      <c r="R6" s="17"/>
      <c r="S6" s="17"/>
      <c r="T6" s="17"/>
      <c r="U6" s="17"/>
      <c r="V6" s="17"/>
    </row>
    <row r="7" spans="1:28" s="78" customFormat="1" ht="18.75" x14ac:dyDescent="0.2">
      <c r="D7" s="83"/>
      <c r="E7" s="83"/>
      <c r="F7" s="83"/>
      <c r="G7" s="245"/>
      <c r="H7" s="245"/>
      <c r="I7" s="245"/>
      <c r="J7" s="245"/>
      <c r="K7" s="17"/>
      <c r="L7" s="17"/>
      <c r="M7" s="17"/>
      <c r="N7" s="17"/>
      <c r="O7" s="17"/>
      <c r="P7" s="17"/>
      <c r="Q7" s="17"/>
      <c r="R7" s="17"/>
      <c r="S7" s="17"/>
      <c r="T7" s="17"/>
      <c r="U7" s="17"/>
      <c r="V7" s="17"/>
    </row>
    <row r="8" spans="1:28" s="78" customFormat="1" ht="18.75" x14ac:dyDescent="0.2">
      <c r="D8" s="18"/>
      <c r="E8" s="18"/>
      <c r="F8" s="18"/>
      <c r="G8" s="246" t="s">
        <v>264</v>
      </c>
      <c r="H8" s="246"/>
      <c r="I8" s="246"/>
      <c r="J8" s="246"/>
      <c r="K8" s="17"/>
      <c r="L8" s="17"/>
      <c r="M8" s="17"/>
      <c r="N8" s="17"/>
      <c r="O8" s="17"/>
      <c r="P8" s="17"/>
      <c r="Q8" s="17"/>
      <c r="R8" s="17"/>
      <c r="S8" s="17"/>
      <c r="T8" s="17"/>
      <c r="U8" s="17"/>
      <c r="V8" s="17"/>
    </row>
    <row r="9" spans="1:28" s="78" customFormat="1" ht="18.75" x14ac:dyDescent="0.2">
      <c r="D9" s="15"/>
      <c r="E9" s="15"/>
      <c r="F9" s="15"/>
      <c r="G9" s="251" t="s">
        <v>4</v>
      </c>
      <c r="H9" s="251"/>
      <c r="I9" s="251"/>
      <c r="J9" s="251"/>
      <c r="K9" s="17"/>
      <c r="L9" s="17"/>
      <c r="M9" s="17"/>
      <c r="N9" s="17"/>
      <c r="O9" s="17"/>
      <c r="P9" s="17"/>
      <c r="Q9" s="17"/>
      <c r="R9" s="17"/>
      <c r="S9" s="17"/>
      <c r="T9" s="17"/>
      <c r="U9" s="17"/>
      <c r="V9" s="17"/>
    </row>
    <row r="10" spans="1:28" s="78" customFormat="1" ht="18.75" x14ac:dyDescent="0.2">
      <c r="D10" s="83"/>
      <c r="E10" s="83"/>
      <c r="F10" s="83"/>
      <c r="G10" s="245"/>
      <c r="H10" s="245"/>
      <c r="I10" s="245"/>
      <c r="J10" s="245"/>
      <c r="K10" s="17"/>
      <c r="L10" s="17"/>
      <c r="M10" s="17"/>
      <c r="N10" s="17"/>
      <c r="O10" s="17"/>
      <c r="P10" s="17"/>
      <c r="Q10" s="17"/>
      <c r="R10" s="17"/>
      <c r="S10" s="17"/>
      <c r="T10" s="17"/>
      <c r="U10" s="17"/>
      <c r="V10" s="17"/>
    </row>
    <row r="11" spans="1:28" s="78" customFormat="1" ht="18.75" x14ac:dyDescent="0.2">
      <c r="D11" s="18"/>
      <c r="E11" s="18"/>
      <c r="F11" s="18"/>
      <c r="G11" s="246" t="str">
        <f>'1. паспорт местоположение'!$A$12</f>
        <v>L_Che376</v>
      </c>
      <c r="H11" s="246"/>
      <c r="I11" s="246"/>
      <c r="J11" s="246"/>
      <c r="K11" s="17"/>
      <c r="L11" s="17"/>
      <c r="M11" s="17"/>
      <c r="N11" s="17"/>
      <c r="O11" s="17"/>
      <c r="P11" s="17"/>
      <c r="Q11" s="17"/>
      <c r="R11" s="17"/>
      <c r="S11" s="17"/>
      <c r="T11" s="17"/>
      <c r="U11" s="17"/>
      <c r="V11" s="17"/>
    </row>
    <row r="12" spans="1:28" s="78" customFormat="1" ht="18.75" x14ac:dyDescent="0.2">
      <c r="D12" s="15"/>
      <c r="E12" s="15"/>
      <c r="F12" s="15"/>
      <c r="G12" s="251" t="s">
        <v>3</v>
      </c>
      <c r="H12" s="251"/>
      <c r="I12" s="251"/>
      <c r="J12" s="251"/>
      <c r="K12" s="17"/>
      <c r="L12" s="17"/>
      <c r="M12" s="17"/>
      <c r="N12" s="17"/>
      <c r="O12" s="17"/>
      <c r="P12" s="17"/>
      <c r="Q12" s="17"/>
      <c r="R12" s="17"/>
      <c r="S12" s="17"/>
      <c r="T12" s="17"/>
      <c r="U12" s="17"/>
      <c r="V12" s="17"/>
    </row>
    <row r="13" spans="1:28" s="81" customFormat="1" ht="15.75" customHeight="1" x14ac:dyDescent="0.2">
      <c r="D13" s="1"/>
      <c r="E13" s="1"/>
      <c r="F13" s="1"/>
      <c r="G13" s="279"/>
      <c r="H13" s="279"/>
      <c r="I13" s="279"/>
      <c r="J13" s="279"/>
      <c r="K13" s="1"/>
      <c r="L13" s="1"/>
      <c r="M13" s="1"/>
      <c r="N13" s="1"/>
      <c r="O13" s="1"/>
      <c r="P13" s="1"/>
      <c r="Q13" s="1"/>
      <c r="R13" s="1"/>
      <c r="S13" s="1"/>
      <c r="T13" s="1"/>
      <c r="U13" s="1"/>
      <c r="V13" s="1"/>
    </row>
    <row r="14" spans="1:28" s="25" customFormat="1" ht="112.5" customHeight="1" x14ac:dyDescent="0.2">
      <c r="D14" s="18"/>
      <c r="E14"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F14" s="252"/>
      <c r="G14" s="252"/>
      <c r="H14" s="252"/>
      <c r="I14" s="252"/>
      <c r="J14" s="252"/>
      <c r="K14" s="252"/>
      <c r="L14" s="18"/>
      <c r="M14" s="18"/>
      <c r="N14" s="18"/>
      <c r="O14" s="18"/>
      <c r="P14" s="18"/>
      <c r="Q14" s="18"/>
      <c r="R14" s="18"/>
      <c r="S14" s="18"/>
      <c r="T14" s="18"/>
      <c r="U14" s="18"/>
      <c r="V14" s="18"/>
    </row>
    <row r="15" spans="1:28" s="25" customFormat="1" ht="15" customHeight="1" x14ac:dyDescent="0.2">
      <c r="D15" s="15"/>
      <c r="E15" s="15"/>
      <c r="F15" s="15"/>
      <c r="G15" s="251" t="s">
        <v>2</v>
      </c>
      <c r="H15" s="251"/>
      <c r="I15" s="251"/>
      <c r="J15" s="251"/>
      <c r="K15" s="15"/>
      <c r="L15" s="15"/>
      <c r="M15" s="15"/>
      <c r="N15" s="15"/>
      <c r="O15" s="15"/>
      <c r="P15" s="15"/>
      <c r="Q15" s="15"/>
      <c r="R15" s="15"/>
      <c r="S15" s="15"/>
      <c r="T15" s="15"/>
      <c r="U15" s="15"/>
      <c r="V15" s="15"/>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39"/>
      <c r="AB16" s="39"/>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39"/>
      <c r="AB17" s="39"/>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39"/>
      <c r="AB18" s="39"/>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39"/>
      <c r="AB19" s="39"/>
    </row>
    <row r="20" spans="1:28" x14ac:dyDescent="0.25">
      <c r="A20" s="282" t="s">
        <v>317</v>
      </c>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41"/>
      <c r="AB20" s="41"/>
    </row>
    <row r="21" spans="1:28" ht="32.25" customHeight="1" x14ac:dyDescent="0.25">
      <c r="A21" s="283" t="s">
        <v>318</v>
      </c>
      <c r="B21" s="284"/>
      <c r="C21" s="284"/>
      <c r="D21" s="284"/>
      <c r="E21" s="284"/>
      <c r="F21" s="284"/>
      <c r="G21" s="284"/>
      <c r="H21" s="284"/>
      <c r="I21" s="284"/>
      <c r="J21" s="284"/>
      <c r="K21" s="284"/>
      <c r="L21" s="285"/>
      <c r="M21" s="286" t="s">
        <v>319</v>
      </c>
      <c r="N21" s="286"/>
      <c r="O21" s="286"/>
      <c r="P21" s="286"/>
      <c r="Q21" s="286"/>
      <c r="R21" s="286"/>
      <c r="S21" s="286"/>
      <c r="T21" s="286"/>
      <c r="U21" s="286"/>
      <c r="V21" s="286"/>
      <c r="W21" s="286"/>
      <c r="X21" s="286"/>
      <c r="Y21" s="286"/>
      <c r="Z21" s="286"/>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41"/>
      <c r="E3" s="241"/>
      <c r="F3" s="241"/>
      <c r="G3" s="241"/>
      <c r="H3" s="241"/>
      <c r="I3" s="241"/>
      <c r="O3" s="14" t="s">
        <v>21</v>
      </c>
    </row>
    <row r="4" spans="1:22" s="78" customFormat="1" ht="18.75" x14ac:dyDescent="0.3">
      <c r="A4" s="13"/>
      <c r="B4" s="13"/>
      <c r="D4" s="291"/>
      <c r="E4" s="291"/>
      <c r="F4" s="291"/>
      <c r="G4" s="291"/>
      <c r="H4" s="291"/>
      <c r="I4" s="291"/>
      <c r="L4" s="14"/>
    </row>
    <row r="5" spans="1:22" s="78" customFormat="1" ht="15.75" x14ac:dyDescent="0.25">
      <c r="D5" s="241" t="str">
        <f>'1. паспорт местоположение'!$A$5</f>
        <v>Год раскрытия информации: 2025 год</v>
      </c>
      <c r="E5" s="241"/>
      <c r="F5" s="241"/>
      <c r="G5" s="241"/>
      <c r="H5" s="241"/>
      <c r="I5" s="241"/>
      <c r="J5" s="12"/>
    </row>
    <row r="6" spans="1:22" s="78" customFormat="1" ht="15.75" customHeight="1" x14ac:dyDescent="0.2">
      <c r="D6" s="260"/>
      <c r="E6" s="260"/>
      <c r="F6" s="260"/>
      <c r="G6" s="260"/>
      <c r="H6" s="260"/>
      <c r="I6" s="260"/>
    </row>
    <row r="7" spans="1:22" s="78" customFormat="1" ht="18.75" x14ac:dyDescent="0.2">
      <c r="D7" s="245" t="s">
        <v>5</v>
      </c>
      <c r="E7" s="245"/>
      <c r="F7" s="245"/>
      <c r="G7" s="245"/>
      <c r="H7" s="245"/>
      <c r="I7" s="245"/>
      <c r="J7" s="17"/>
      <c r="K7" s="17"/>
      <c r="L7" s="17"/>
      <c r="M7" s="17"/>
      <c r="N7" s="17"/>
      <c r="O7" s="17"/>
      <c r="P7" s="17"/>
      <c r="Q7" s="17"/>
      <c r="R7" s="17"/>
      <c r="S7" s="17"/>
      <c r="T7" s="17"/>
      <c r="U7" s="17"/>
      <c r="V7" s="17"/>
    </row>
    <row r="8" spans="1:22" s="78" customFormat="1" ht="18.75" x14ac:dyDescent="0.2">
      <c r="D8" s="245"/>
      <c r="E8" s="245"/>
      <c r="F8" s="245"/>
      <c r="G8" s="245"/>
      <c r="H8" s="245"/>
      <c r="I8" s="245"/>
      <c r="J8" s="17"/>
      <c r="K8" s="17"/>
      <c r="L8" s="17"/>
      <c r="M8" s="17"/>
      <c r="N8" s="17"/>
      <c r="O8" s="17"/>
      <c r="P8" s="17"/>
      <c r="Q8" s="17"/>
      <c r="R8" s="17"/>
      <c r="S8" s="17"/>
      <c r="T8" s="17"/>
      <c r="U8" s="17"/>
      <c r="V8" s="17"/>
    </row>
    <row r="9" spans="1:22" s="78" customFormat="1" ht="18.75" x14ac:dyDescent="0.2">
      <c r="D9" s="246" t="s">
        <v>264</v>
      </c>
      <c r="E9" s="246"/>
      <c r="F9" s="246"/>
      <c r="G9" s="246"/>
      <c r="H9" s="246"/>
      <c r="I9" s="246"/>
      <c r="J9" s="17"/>
      <c r="K9" s="17"/>
      <c r="L9" s="17"/>
      <c r="M9" s="17"/>
      <c r="N9" s="17"/>
      <c r="O9" s="17"/>
      <c r="P9" s="17"/>
      <c r="Q9" s="17"/>
      <c r="R9" s="17"/>
      <c r="S9" s="17"/>
      <c r="T9" s="17"/>
      <c r="U9" s="17"/>
      <c r="V9" s="17"/>
    </row>
    <row r="10" spans="1:22" s="78" customFormat="1" ht="18.75" x14ac:dyDescent="0.2">
      <c r="D10" s="251" t="s">
        <v>4</v>
      </c>
      <c r="E10" s="251"/>
      <c r="F10" s="251"/>
      <c r="G10" s="251"/>
      <c r="H10" s="251"/>
      <c r="I10" s="251"/>
      <c r="J10" s="17"/>
      <c r="K10" s="17"/>
      <c r="L10" s="17"/>
      <c r="M10" s="17"/>
      <c r="N10" s="17"/>
      <c r="O10" s="17"/>
      <c r="P10" s="17"/>
      <c r="Q10" s="17"/>
      <c r="R10" s="17"/>
      <c r="S10" s="17"/>
      <c r="T10" s="17"/>
      <c r="U10" s="17"/>
      <c r="V10" s="17"/>
    </row>
    <row r="11" spans="1:22" s="78" customFormat="1" ht="18.75" x14ac:dyDescent="0.2">
      <c r="D11" s="245"/>
      <c r="E11" s="245"/>
      <c r="F11" s="245"/>
      <c r="G11" s="245"/>
      <c r="H11" s="245"/>
      <c r="I11" s="245"/>
      <c r="J11" s="17"/>
      <c r="K11" s="17"/>
      <c r="L11" s="17"/>
      <c r="M11" s="17"/>
      <c r="N11" s="17"/>
      <c r="O11" s="17"/>
      <c r="P11" s="17"/>
      <c r="Q11" s="17"/>
      <c r="R11" s="17"/>
      <c r="S11" s="17"/>
      <c r="T11" s="17"/>
      <c r="U11" s="17"/>
      <c r="V11" s="17"/>
    </row>
    <row r="12" spans="1:22" s="78" customFormat="1" ht="18.75" x14ac:dyDescent="0.2">
      <c r="D12" s="246" t="str">
        <f>'1. паспорт местоположение'!$A$12</f>
        <v>L_Che376</v>
      </c>
      <c r="E12" s="246"/>
      <c r="F12" s="246"/>
      <c r="G12" s="246"/>
      <c r="H12" s="246"/>
      <c r="I12" s="246"/>
      <c r="J12" s="17"/>
      <c r="K12" s="17"/>
      <c r="L12" s="17"/>
      <c r="M12" s="17"/>
      <c r="N12" s="17"/>
      <c r="O12" s="17"/>
      <c r="P12" s="17"/>
      <c r="Q12" s="17"/>
      <c r="R12" s="17"/>
      <c r="S12" s="17"/>
      <c r="T12" s="17"/>
      <c r="U12" s="17"/>
      <c r="V12" s="17"/>
    </row>
    <row r="13" spans="1:22" s="78" customFormat="1" ht="18.75" x14ac:dyDescent="0.2">
      <c r="D13" s="251" t="s">
        <v>3</v>
      </c>
      <c r="E13" s="251"/>
      <c r="F13" s="251"/>
      <c r="G13" s="251"/>
      <c r="H13" s="251"/>
      <c r="I13" s="251"/>
      <c r="J13" s="17"/>
      <c r="K13" s="17"/>
      <c r="L13" s="17"/>
      <c r="M13" s="17"/>
      <c r="N13" s="17"/>
      <c r="O13" s="17"/>
      <c r="P13" s="17"/>
      <c r="Q13" s="17"/>
      <c r="R13" s="17"/>
      <c r="S13" s="17"/>
      <c r="T13" s="17"/>
      <c r="U13" s="17"/>
      <c r="V13" s="17"/>
    </row>
    <row r="14" spans="1:22" s="81" customFormat="1" ht="15.75" customHeight="1" x14ac:dyDescent="0.2">
      <c r="D14" s="279"/>
      <c r="E14" s="279"/>
      <c r="F14" s="279"/>
      <c r="G14" s="279"/>
      <c r="H14" s="279"/>
      <c r="I14" s="279"/>
      <c r="J14" s="1"/>
      <c r="K14" s="1"/>
      <c r="L14" s="1"/>
      <c r="M14" s="1"/>
      <c r="N14" s="1"/>
      <c r="O14" s="1"/>
      <c r="P14" s="1"/>
      <c r="Q14" s="1"/>
      <c r="R14" s="1"/>
      <c r="S14" s="1"/>
      <c r="T14" s="1"/>
      <c r="U14" s="1"/>
      <c r="V14" s="1"/>
    </row>
    <row r="15" spans="1:22" s="25" customFormat="1" ht="100.5" customHeight="1" x14ac:dyDescent="0.25">
      <c r="C15"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D15" s="290"/>
      <c r="E15" s="290"/>
      <c r="F15" s="290"/>
      <c r="G15" s="290"/>
      <c r="H15" s="290"/>
      <c r="I15" s="290"/>
      <c r="J15" s="290"/>
      <c r="K15" s="290"/>
      <c r="L15" s="290"/>
      <c r="M15" s="290"/>
      <c r="N15" s="18"/>
      <c r="O15" s="18"/>
      <c r="P15" s="18"/>
      <c r="Q15" s="18"/>
      <c r="R15" s="18"/>
      <c r="S15" s="18"/>
      <c r="T15" s="18"/>
      <c r="U15" s="18"/>
      <c r="V15" s="18"/>
    </row>
    <row r="16" spans="1:22" s="25" customFormat="1" ht="15" customHeight="1" x14ac:dyDescent="0.2">
      <c r="D16" s="251" t="s">
        <v>2</v>
      </c>
      <c r="E16" s="251"/>
      <c r="F16" s="251"/>
      <c r="G16" s="251"/>
      <c r="H16" s="251"/>
      <c r="I16" s="251"/>
      <c r="J16" s="15"/>
      <c r="K16" s="15"/>
      <c r="L16" s="15"/>
      <c r="M16" s="15"/>
      <c r="N16" s="15"/>
      <c r="O16" s="15"/>
      <c r="P16" s="15"/>
      <c r="Q16" s="15"/>
      <c r="R16" s="15"/>
      <c r="S16" s="15"/>
      <c r="T16" s="15"/>
      <c r="U16" s="15"/>
      <c r="V16" s="15"/>
    </row>
    <row r="17" spans="1:26" s="78" customFormat="1" ht="18.75" x14ac:dyDescent="0.2">
      <c r="A17" s="82"/>
      <c r="B17" s="82"/>
      <c r="C17" s="82"/>
      <c r="D17" s="246"/>
      <c r="E17" s="246"/>
      <c r="F17" s="246"/>
      <c r="G17" s="246"/>
      <c r="H17" s="246"/>
      <c r="I17" s="246"/>
      <c r="J17" s="82"/>
      <c r="K17" s="82"/>
      <c r="L17" s="82"/>
      <c r="M17" s="82"/>
      <c r="N17" s="82"/>
      <c r="O17" s="82"/>
      <c r="P17" s="17"/>
      <c r="Q17" s="17"/>
      <c r="R17" s="17"/>
      <c r="S17" s="17"/>
      <c r="T17" s="17"/>
      <c r="U17" s="17"/>
      <c r="V17" s="17"/>
      <c r="W17" s="17"/>
      <c r="X17" s="17"/>
      <c r="Y17" s="17"/>
      <c r="Z17" s="17"/>
    </row>
    <row r="18" spans="1:26" s="25" customFormat="1" ht="91.5" customHeight="1" x14ac:dyDescent="0.2">
      <c r="A18" s="292" t="s">
        <v>373</v>
      </c>
      <c r="B18" s="292"/>
      <c r="C18" s="292"/>
      <c r="D18" s="292"/>
      <c r="E18" s="292"/>
      <c r="F18" s="292"/>
      <c r="G18" s="292"/>
      <c r="H18" s="292"/>
      <c r="I18" s="292"/>
      <c r="J18" s="292"/>
      <c r="K18" s="292"/>
      <c r="L18" s="292"/>
      <c r="M18" s="292"/>
      <c r="N18" s="292"/>
      <c r="O18" s="292"/>
      <c r="P18" s="114"/>
      <c r="Q18" s="114"/>
      <c r="R18" s="114"/>
      <c r="S18" s="114"/>
      <c r="T18" s="114"/>
      <c r="U18" s="114"/>
      <c r="V18" s="114"/>
      <c r="W18" s="114"/>
      <c r="X18" s="114"/>
      <c r="Y18" s="114"/>
      <c r="Z18" s="114"/>
    </row>
    <row r="19" spans="1:26" s="25" customFormat="1" ht="78" customHeight="1" x14ac:dyDescent="0.2">
      <c r="A19" s="253" t="s">
        <v>1</v>
      </c>
      <c r="B19" s="253" t="s">
        <v>374</v>
      </c>
      <c r="C19" s="253" t="s">
        <v>375</v>
      </c>
      <c r="D19" s="253" t="s">
        <v>376</v>
      </c>
      <c r="E19" s="287" t="s">
        <v>377</v>
      </c>
      <c r="F19" s="288"/>
      <c r="G19" s="288"/>
      <c r="H19" s="288"/>
      <c r="I19" s="289"/>
      <c r="J19" s="253" t="s">
        <v>378</v>
      </c>
      <c r="K19" s="253"/>
      <c r="L19" s="253"/>
      <c r="M19" s="253"/>
      <c r="N19" s="253"/>
      <c r="O19" s="253"/>
      <c r="P19" s="79"/>
      <c r="Q19" s="79"/>
      <c r="R19" s="79"/>
      <c r="S19" s="79"/>
      <c r="T19" s="79"/>
      <c r="U19" s="79"/>
      <c r="V19" s="79"/>
      <c r="W19" s="79"/>
    </row>
    <row r="20" spans="1:26" s="25" customFormat="1" ht="51" customHeight="1" x14ac:dyDescent="0.2">
      <c r="A20" s="253"/>
      <c r="B20" s="253"/>
      <c r="C20" s="253"/>
      <c r="D20" s="253"/>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41" t="str">
        <f>'1. паспорт местоположение'!$A$5</f>
        <v>Год раскрытия информации: 2025 год</v>
      </c>
      <c r="B5" s="241"/>
      <c r="C5" s="241"/>
      <c r="D5" s="241"/>
      <c r="E5" s="241"/>
      <c r="F5" s="241"/>
    </row>
    <row r="6" spans="1:6" ht="15.75" x14ac:dyDescent="0.25">
      <c r="A6" s="20"/>
      <c r="B6" s="21"/>
      <c r="C6" s="21"/>
      <c r="D6" s="21"/>
      <c r="E6" s="21"/>
      <c r="F6" s="21"/>
    </row>
    <row r="7" spans="1:6" ht="18.75" x14ac:dyDescent="0.25">
      <c r="A7" s="245" t="s">
        <v>5</v>
      </c>
      <c r="B7" s="245"/>
      <c r="C7" s="245"/>
      <c r="D7" s="245"/>
      <c r="E7" s="245"/>
      <c r="F7" s="245"/>
    </row>
    <row r="8" spans="1:6" ht="18.75" x14ac:dyDescent="0.25">
      <c r="A8" s="83"/>
      <c r="B8" s="83"/>
      <c r="C8" s="83"/>
      <c r="D8" s="83"/>
      <c r="E8" s="83"/>
      <c r="F8" s="83"/>
    </row>
    <row r="9" spans="1:6" ht="15.75" x14ac:dyDescent="0.25">
      <c r="A9" s="246" t="s">
        <v>264</v>
      </c>
      <c r="B9" s="246"/>
      <c r="C9" s="246"/>
      <c r="D9" s="246"/>
      <c r="E9" s="246"/>
      <c r="F9" s="246"/>
    </row>
    <row r="10" spans="1:6" ht="15.75" x14ac:dyDescent="0.25">
      <c r="A10" s="251" t="s">
        <v>4</v>
      </c>
      <c r="B10" s="251"/>
      <c r="C10" s="251"/>
      <c r="D10" s="251"/>
      <c r="E10" s="251"/>
      <c r="F10" s="251"/>
    </row>
    <row r="11" spans="1:6" ht="18.75" x14ac:dyDescent="0.25">
      <c r="A11" s="83"/>
      <c r="B11" s="83"/>
      <c r="C11" s="83"/>
      <c r="D11" s="83"/>
      <c r="E11" s="83"/>
      <c r="F11" s="83"/>
    </row>
    <row r="12" spans="1:6" ht="15.75" x14ac:dyDescent="0.25">
      <c r="A12" s="246" t="str">
        <f>'1. паспорт местоположение'!$A$12</f>
        <v>L_Che376</v>
      </c>
      <c r="B12" s="246"/>
      <c r="C12" s="246"/>
      <c r="D12" s="246"/>
      <c r="E12" s="246"/>
      <c r="F12" s="246"/>
    </row>
    <row r="13" spans="1:6" ht="15.75" x14ac:dyDescent="0.25">
      <c r="A13" s="251" t="s">
        <v>3</v>
      </c>
      <c r="B13" s="251"/>
      <c r="C13" s="251"/>
      <c r="D13" s="251"/>
      <c r="E13" s="251"/>
      <c r="F13" s="251"/>
    </row>
    <row r="14" spans="1:6" ht="18.75" x14ac:dyDescent="0.25">
      <c r="A14" s="1"/>
      <c r="B14" s="1"/>
      <c r="C14" s="1"/>
      <c r="D14" s="1"/>
      <c r="E14" s="1"/>
      <c r="F14" s="1"/>
    </row>
    <row r="15" spans="1:6" ht="53.25" customHeight="1" x14ac:dyDescent="0.25">
      <c r="A15"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B15" s="252"/>
      <c r="C15" s="252"/>
      <c r="D15" s="252"/>
      <c r="E15" s="252"/>
      <c r="F15" s="252"/>
    </row>
    <row r="16" spans="1:6" ht="15.75" x14ac:dyDescent="0.25">
      <c r="A16" s="251" t="s">
        <v>2</v>
      </c>
      <c r="B16" s="251"/>
      <c r="C16" s="251"/>
      <c r="D16" s="251"/>
      <c r="E16" s="251"/>
      <c r="F16" s="251"/>
    </row>
    <row r="17" spans="1:6" ht="18.75" x14ac:dyDescent="0.25">
      <c r="A17" s="79"/>
      <c r="B17" s="79"/>
      <c r="C17" s="79"/>
      <c r="D17" s="79"/>
      <c r="E17" s="79"/>
      <c r="F17" s="79"/>
    </row>
    <row r="18" spans="1:6" ht="18.75" x14ac:dyDescent="0.25">
      <c r="A18" s="264" t="s">
        <v>267</v>
      </c>
      <c r="B18" s="264"/>
      <c r="C18" s="264"/>
      <c r="D18" s="264"/>
      <c r="E18" s="264"/>
      <c r="F18" s="264"/>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7" t="s">
        <v>461</v>
      </c>
      <c r="C21" s="298"/>
      <c r="D21" s="298"/>
      <c r="E21" s="299"/>
      <c r="F21" s="22"/>
    </row>
    <row r="22" spans="1:6" ht="15.75" x14ac:dyDescent="0.25">
      <c r="A22" s="22"/>
      <c r="B22" s="294" t="s">
        <v>268</v>
      </c>
      <c r="C22" s="295"/>
      <c r="D22" s="295" t="s">
        <v>269</v>
      </c>
      <c r="E22" s="296"/>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93"/>
      <c r="C26" s="293"/>
      <c r="D26" s="293"/>
      <c r="E26" s="293"/>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9" zoomScale="70" zoomScaleNormal="100" zoomScaleSheetLayoutView="70" workbookViewId="0">
      <selection activeCell="J21" sqref="J21:J23"/>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41" t="str">
        <f>'1. паспорт местоположение'!$A$5</f>
        <v>Год раскрытия информации: 2025 год</v>
      </c>
      <c r="B5" s="241"/>
      <c r="C5" s="241"/>
      <c r="D5" s="241"/>
      <c r="E5" s="241"/>
      <c r="F5" s="241"/>
      <c r="G5" s="241"/>
      <c r="H5" s="241"/>
      <c r="I5" s="241"/>
      <c r="J5" s="241"/>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45" t="s">
        <v>5</v>
      </c>
      <c r="B7" s="245"/>
      <c r="C7" s="245"/>
      <c r="D7" s="245"/>
      <c r="E7" s="245"/>
      <c r="F7" s="245"/>
      <c r="G7" s="245"/>
      <c r="H7" s="245"/>
      <c r="I7" s="245"/>
      <c r="J7" s="245"/>
    </row>
    <row r="8" spans="1:42" ht="18.75" x14ac:dyDescent="0.25">
      <c r="A8" s="245"/>
      <c r="B8" s="245"/>
      <c r="C8" s="245"/>
      <c r="D8" s="245"/>
      <c r="E8" s="245"/>
      <c r="F8" s="245"/>
      <c r="G8" s="245"/>
      <c r="H8" s="245"/>
      <c r="I8" s="245"/>
      <c r="J8" s="245"/>
    </row>
    <row r="9" spans="1:42" x14ac:dyDescent="0.25">
      <c r="A9" s="246" t="s">
        <v>264</v>
      </c>
      <c r="B9" s="246"/>
      <c r="C9" s="246"/>
      <c r="D9" s="246"/>
      <c r="E9" s="246"/>
      <c r="F9" s="246"/>
      <c r="G9" s="246"/>
      <c r="H9" s="246"/>
      <c r="I9" s="246"/>
      <c r="J9" s="246"/>
    </row>
    <row r="10" spans="1:42" x14ac:dyDescent="0.25">
      <c r="A10" s="251" t="s">
        <v>4</v>
      </c>
      <c r="B10" s="251"/>
      <c r="C10" s="251"/>
      <c r="D10" s="251"/>
      <c r="E10" s="251"/>
      <c r="F10" s="251"/>
      <c r="G10" s="251"/>
      <c r="H10" s="251"/>
      <c r="I10" s="251"/>
      <c r="J10" s="251"/>
    </row>
    <row r="11" spans="1:42" ht="18.75" x14ac:dyDescent="0.25">
      <c r="A11" s="245"/>
      <c r="B11" s="245"/>
      <c r="C11" s="245"/>
      <c r="D11" s="245"/>
      <c r="E11" s="245"/>
      <c r="F11" s="245"/>
      <c r="G11" s="245"/>
      <c r="H11" s="245"/>
      <c r="I11" s="245"/>
      <c r="J11" s="245"/>
    </row>
    <row r="12" spans="1:42" x14ac:dyDescent="0.25">
      <c r="A12" s="246" t="str">
        <f>'1. паспорт местоположение'!$A$12</f>
        <v>L_Che376</v>
      </c>
      <c r="B12" s="246"/>
      <c r="C12" s="246"/>
      <c r="D12" s="246"/>
      <c r="E12" s="246"/>
      <c r="F12" s="246"/>
      <c r="G12" s="246"/>
      <c r="H12" s="246"/>
      <c r="I12" s="246"/>
      <c r="J12" s="246"/>
    </row>
    <row r="13" spans="1:42" x14ac:dyDescent="0.25">
      <c r="A13" s="251" t="s">
        <v>3</v>
      </c>
      <c r="B13" s="251"/>
      <c r="C13" s="251"/>
      <c r="D13" s="251"/>
      <c r="E13" s="251"/>
      <c r="F13" s="251"/>
      <c r="G13" s="251"/>
      <c r="H13" s="251"/>
      <c r="I13" s="251"/>
      <c r="J13" s="251"/>
    </row>
    <row r="14" spans="1:42" ht="18.75" x14ac:dyDescent="0.25">
      <c r="A14" s="279"/>
      <c r="B14" s="279"/>
      <c r="C14" s="279"/>
      <c r="D14" s="279"/>
      <c r="E14" s="279"/>
      <c r="F14" s="279"/>
      <c r="G14" s="279"/>
      <c r="H14" s="279"/>
      <c r="I14" s="279"/>
      <c r="J14" s="279"/>
    </row>
    <row r="15" spans="1:42" ht="66.75" customHeight="1" x14ac:dyDescent="0.25">
      <c r="A15" s="252" t="str">
        <f>'1. паспорт местоположение'!$A$15</f>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
      <c r="B15" s="252"/>
      <c r="C15" s="252"/>
      <c r="D15" s="252"/>
      <c r="E15" s="252"/>
      <c r="F15" s="252"/>
      <c r="G15" s="252"/>
      <c r="H15" s="252"/>
      <c r="I15" s="252"/>
      <c r="J15" s="252"/>
    </row>
    <row r="16" spans="1:42" x14ac:dyDescent="0.25">
      <c r="A16" s="251" t="s">
        <v>2</v>
      </c>
      <c r="B16" s="251"/>
      <c r="C16" s="251"/>
      <c r="D16" s="251"/>
      <c r="E16" s="251"/>
      <c r="F16" s="251"/>
      <c r="G16" s="251"/>
      <c r="H16" s="251"/>
      <c r="I16" s="251"/>
      <c r="J16" s="251"/>
    </row>
    <row r="17" spans="1:10" ht="15.75" customHeight="1" x14ac:dyDescent="0.25">
      <c r="J17" s="98"/>
    </row>
    <row r="18" spans="1:10" x14ac:dyDescent="0.25">
      <c r="I18" s="87"/>
    </row>
    <row r="19" spans="1:10" ht="15.75" customHeight="1" x14ac:dyDescent="0.25">
      <c r="A19" s="308" t="s">
        <v>245</v>
      </c>
      <c r="B19" s="308"/>
      <c r="C19" s="308"/>
      <c r="D19" s="308"/>
      <c r="E19" s="308"/>
      <c r="F19" s="308"/>
      <c r="G19" s="308"/>
      <c r="H19" s="308"/>
      <c r="I19" s="308"/>
      <c r="J19" s="308"/>
    </row>
    <row r="20" spans="1:10" x14ac:dyDescent="0.25">
      <c r="A20" s="85"/>
      <c r="B20" s="85"/>
      <c r="C20" s="60"/>
      <c r="D20" s="60"/>
      <c r="E20" s="60"/>
      <c r="F20" s="60"/>
      <c r="G20" s="99"/>
      <c r="H20" s="99"/>
      <c r="I20" s="60"/>
      <c r="J20" s="60"/>
    </row>
    <row r="21" spans="1:10" ht="28.5" customHeight="1" x14ac:dyDescent="0.25">
      <c r="A21" s="300" t="s">
        <v>134</v>
      </c>
      <c r="B21" s="300" t="s">
        <v>133</v>
      </c>
      <c r="C21" s="309" t="s">
        <v>194</v>
      </c>
      <c r="D21" s="309"/>
      <c r="E21" s="309"/>
      <c r="F21" s="309"/>
      <c r="G21" s="306" t="s">
        <v>132</v>
      </c>
      <c r="H21" s="303" t="s">
        <v>196</v>
      </c>
      <c r="I21" s="300" t="s">
        <v>131</v>
      </c>
      <c r="J21" s="310" t="s">
        <v>195</v>
      </c>
    </row>
    <row r="22" spans="1:10" ht="58.5" customHeight="1" x14ac:dyDescent="0.25">
      <c r="A22" s="300"/>
      <c r="B22" s="300"/>
      <c r="C22" s="307" t="s">
        <v>0</v>
      </c>
      <c r="D22" s="307"/>
      <c r="E22" s="301" t="str">
        <f>'6.2. Паспорт фин осв ввод'!D22</f>
        <v>Факт</v>
      </c>
      <c r="F22" s="302"/>
      <c r="G22" s="306"/>
      <c r="H22" s="304"/>
      <c r="I22" s="300"/>
      <c r="J22" s="310"/>
    </row>
    <row r="23" spans="1:10" ht="31.5" x14ac:dyDescent="0.25">
      <c r="A23" s="300"/>
      <c r="B23" s="300"/>
      <c r="C23" s="100" t="s">
        <v>130</v>
      </c>
      <c r="D23" s="100" t="s">
        <v>129</v>
      </c>
      <c r="E23" s="100" t="s">
        <v>130</v>
      </c>
      <c r="F23" s="100" t="s">
        <v>129</v>
      </c>
      <c r="G23" s="306"/>
      <c r="H23" s="305"/>
      <c r="I23" s="300"/>
      <c r="J23" s="310"/>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226"/>
      <c r="D25" s="226"/>
      <c r="E25" s="226"/>
      <c r="F25" s="226"/>
      <c r="G25" s="227"/>
      <c r="H25" s="227"/>
      <c r="I25" s="103"/>
      <c r="J25" s="43"/>
    </row>
    <row r="26" spans="1:10" ht="21.75" customHeight="1" x14ac:dyDescent="0.25">
      <c r="A26" s="100" t="s">
        <v>127</v>
      </c>
      <c r="B26" s="104" t="s">
        <v>198</v>
      </c>
      <c r="C26" s="228" t="s">
        <v>265</v>
      </c>
      <c r="D26" s="228" t="s">
        <v>265</v>
      </c>
      <c r="E26" s="228" t="s">
        <v>265</v>
      </c>
      <c r="F26" s="228" t="s">
        <v>265</v>
      </c>
      <c r="G26" s="229" t="s">
        <v>294</v>
      </c>
      <c r="H26" s="229" t="s">
        <v>294</v>
      </c>
      <c r="I26" s="103"/>
      <c r="J26" s="103"/>
    </row>
    <row r="27" spans="1:10" s="58" customFormat="1" ht="39" customHeight="1" x14ac:dyDescent="0.25">
      <c r="A27" s="100" t="s">
        <v>126</v>
      </c>
      <c r="B27" s="104" t="s">
        <v>200</v>
      </c>
      <c r="C27" s="228" t="s">
        <v>265</v>
      </c>
      <c r="D27" s="228" t="s">
        <v>265</v>
      </c>
      <c r="E27" s="228" t="s">
        <v>265</v>
      </c>
      <c r="F27" s="228" t="s">
        <v>265</v>
      </c>
      <c r="G27" s="229" t="s">
        <v>294</v>
      </c>
      <c r="H27" s="229" t="s">
        <v>294</v>
      </c>
      <c r="I27" s="103"/>
      <c r="J27" s="103"/>
    </row>
    <row r="28" spans="1:10" s="58" customFormat="1" ht="56.25" customHeight="1" x14ac:dyDescent="0.25">
      <c r="A28" s="100" t="s">
        <v>199</v>
      </c>
      <c r="B28" s="104" t="s">
        <v>204</v>
      </c>
      <c r="C28" s="228" t="s">
        <v>265</v>
      </c>
      <c r="D28" s="228" t="s">
        <v>265</v>
      </c>
      <c r="E28" s="228" t="s">
        <v>265</v>
      </c>
      <c r="F28" s="228" t="s">
        <v>265</v>
      </c>
      <c r="G28" s="229" t="s">
        <v>294</v>
      </c>
      <c r="H28" s="229" t="s">
        <v>294</v>
      </c>
      <c r="I28" s="103"/>
      <c r="J28" s="103"/>
    </row>
    <row r="29" spans="1:10" s="58" customFormat="1" ht="32.25" customHeight="1" x14ac:dyDescent="0.25">
      <c r="A29" s="100" t="s">
        <v>125</v>
      </c>
      <c r="B29" s="104" t="s">
        <v>203</v>
      </c>
      <c r="C29" s="228" t="s">
        <v>265</v>
      </c>
      <c r="D29" s="228" t="s">
        <v>265</v>
      </c>
      <c r="E29" s="228" t="s">
        <v>265</v>
      </c>
      <c r="F29" s="228" t="s">
        <v>265</v>
      </c>
      <c r="G29" s="229" t="s">
        <v>294</v>
      </c>
      <c r="H29" s="229" t="s">
        <v>294</v>
      </c>
      <c r="I29" s="103"/>
      <c r="J29" s="103"/>
    </row>
    <row r="30" spans="1:10" s="58" customFormat="1" ht="42" customHeight="1" x14ac:dyDescent="0.25">
      <c r="A30" s="100" t="s">
        <v>124</v>
      </c>
      <c r="B30" s="104" t="s">
        <v>205</v>
      </c>
      <c r="C30" s="228" t="s">
        <v>265</v>
      </c>
      <c r="D30" s="228" t="s">
        <v>265</v>
      </c>
      <c r="E30" s="228" t="s">
        <v>265</v>
      </c>
      <c r="F30" s="228" t="s">
        <v>265</v>
      </c>
      <c r="G30" s="229" t="s">
        <v>294</v>
      </c>
      <c r="H30" s="229" t="s">
        <v>294</v>
      </c>
      <c r="I30" s="103"/>
      <c r="J30" s="103"/>
    </row>
    <row r="31" spans="1:10" s="58" customFormat="1" ht="37.5" customHeight="1" x14ac:dyDescent="0.25">
      <c r="A31" s="100" t="s">
        <v>123</v>
      </c>
      <c r="B31" s="105" t="s">
        <v>201</v>
      </c>
      <c r="C31" s="230">
        <v>43329</v>
      </c>
      <c r="D31" s="230">
        <v>43329</v>
      </c>
      <c r="E31" s="230">
        <v>43329</v>
      </c>
      <c r="F31" s="230">
        <v>43329</v>
      </c>
      <c r="G31" s="227">
        <v>1</v>
      </c>
      <c r="H31" s="229" t="s">
        <v>294</v>
      </c>
      <c r="I31" s="103"/>
      <c r="J31" s="103"/>
    </row>
    <row r="32" spans="1:10" s="58" customFormat="1" ht="31.5" x14ac:dyDescent="0.25">
      <c r="A32" s="100" t="s">
        <v>121</v>
      </c>
      <c r="B32" s="105" t="s">
        <v>206</v>
      </c>
      <c r="C32" s="230">
        <v>43584</v>
      </c>
      <c r="D32" s="230">
        <v>43584</v>
      </c>
      <c r="E32" s="230">
        <v>43584</v>
      </c>
      <c r="F32" s="230">
        <v>43584</v>
      </c>
      <c r="G32" s="227">
        <v>1</v>
      </c>
      <c r="H32" s="229" t="s">
        <v>294</v>
      </c>
      <c r="I32" s="103"/>
      <c r="J32" s="103"/>
    </row>
    <row r="33" spans="1:10" s="58" customFormat="1" ht="37.5" customHeight="1" x14ac:dyDescent="0.25">
      <c r="A33" s="100" t="s">
        <v>217</v>
      </c>
      <c r="B33" s="105" t="s">
        <v>147</v>
      </c>
      <c r="C33" s="230">
        <v>43803</v>
      </c>
      <c r="D33" s="230">
        <v>43803</v>
      </c>
      <c r="E33" s="230">
        <v>43803</v>
      </c>
      <c r="F33" s="230">
        <v>43803</v>
      </c>
      <c r="G33" s="227">
        <v>1</v>
      </c>
      <c r="H33" s="229" t="s">
        <v>294</v>
      </c>
      <c r="I33" s="103"/>
      <c r="J33" s="103"/>
    </row>
    <row r="34" spans="1:10" s="58" customFormat="1" ht="47.25" customHeight="1" x14ac:dyDescent="0.25">
      <c r="A34" s="100" t="s">
        <v>218</v>
      </c>
      <c r="B34" s="105" t="s">
        <v>210</v>
      </c>
      <c r="C34" s="228" t="s">
        <v>265</v>
      </c>
      <c r="D34" s="228" t="s">
        <v>265</v>
      </c>
      <c r="E34" s="228" t="s">
        <v>265</v>
      </c>
      <c r="F34" s="228" t="s">
        <v>265</v>
      </c>
      <c r="G34" s="229" t="s">
        <v>294</v>
      </c>
      <c r="H34" s="229" t="s">
        <v>294</v>
      </c>
      <c r="I34" s="106"/>
      <c r="J34" s="103"/>
    </row>
    <row r="35" spans="1:10" s="58" customFormat="1" ht="30" customHeight="1" x14ac:dyDescent="0.25">
      <c r="A35" s="100" t="s">
        <v>219</v>
      </c>
      <c r="B35" s="105" t="s">
        <v>122</v>
      </c>
      <c r="C35" s="230">
        <v>43914</v>
      </c>
      <c r="D35" s="230">
        <v>43914</v>
      </c>
      <c r="E35" s="230">
        <v>43914</v>
      </c>
      <c r="F35" s="230">
        <v>43914</v>
      </c>
      <c r="G35" s="227">
        <v>1</v>
      </c>
      <c r="H35" s="229" t="s">
        <v>294</v>
      </c>
      <c r="I35" s="106"/>
      <c r="J35" s="103"/>
    </row>
    <row r="36" spans="1:10" ht="37.5" customHeight="1" x14ac:dyDescent="0.25">
      <c r="A36" s="100" t="s">
        <v>220</v>
      </c>
      <c r="B36" s="105" t="s">
        <v>202</v>
      </c>
      <c r="C36" s="228" t="s">
        <v>265</v>
      </c>
      <c r="D36" s="228" t="s">
        <v>265</v>
      </c>
      <c r="E36" s="228" t="s">
        <v>265</v>
      </c>
      <c r="F36" s="228" t="s">
        <v>265</v>
      </c>
      <c r="G36" s="227"/>
      <c r="H36" s="229" t="s">
        <v>294</v>
      </c>
      <c r="I36" s="103"/>
      <c r="J36" s="103"/>
    </row>
    <row r="37" spans="1:10" ht="20.25" customHeight="1" x14ac:dyDescent="0.25">
      <c r="A37" s="100" t="s">
        <v>221</v>
      </c>
      <c r="B37" s="105" t="s">
        <v>120</v>
      </c>
      <c r="C37" s="230">
        <v>43329</v>
      </c>
      <c r="D37" s="230">
        <v>43584</v>
      </c>
      <c r="E37" s="230">
        <v>43329</v>
      </c>
      <c r="F37" s="230">
        <v>43584</v>
      </c>
      <c r="G37" s="227">
        <v>1</v>
      </c>
      <c r="H37" s="229" t="s">
        <v>294</v>
      </c>
      <c r="I37" s="103"/>
      <c r="J37" s="103"/>
    </row>
    <row r="38" spans="1:10" x14ac:dyDescent="0.25">
      <c r="A38" s="100" t="s">
        <v>222</v>
      </c>
      <c r="B38" s="102" t="s">
        <v>119</v>
      </c>
      <c r="C38" s="231"/>
      <c r="D38" s="232"/>
      <c r="E38" s="231"/>
      <c r="F38" s="232"/>
      <c r="G38" s="233"/>
      <c r="H38" s="229"/>
      <c r="I38" s="103"/>
      <c r="J38" s="103"/>
    </row>
    <row r="39" spans="1:10" ht="53.25" customHeight="1" x14ac:dyDescent="0.25">
      <c r="A39" s="100">
        <v>2</v>
      </c>
      <c r="B39" s="105" t="s">
        <v>207</v>
      </c>
      <c r="C39" s="231">
        <v>44110</v>
      </c>
      <c r="D39" s="231">
        <v>44110</v>
      </c>
      <c r="E39" s="231">
        <v>44110</v>
      </c>
      <c r="F39" s="231">
        <v>44110</v>
      </c>
      <c r="G39" s="227">
        <v>1</v>
      </c>
      <c r="H39" s="229" t="s">
        <v>294</v>
      </c>
      <c r="I39" s="103"/>
      <c r="J39" s="103"/>
    </row>
    <row r="40" spans="1:10" ht="33.75" customHeight="1" x14ac:dyDescent="0.25">
      <c r="A40" s="100" t="s">
        <v>118</v>
      </c>
      <c r="B40" s="105" t="s">
        <v>209</v>
      </c>
      <c r="C40" s="228" t="s">
        <v>294</v>
      </c>
      <c r="D40" s="228" t="s">
        <v>294</v>
      </c>
      <c r="E40" s="228" t="s">
        <v>294</v>
      </c>
      <c r="F40" s="228" t="s">
        <v>294</v>
      </c>
      <c r="G40" s="227" t="s">
        <v>294</v>
      </c>
      <c r="H40" s="229" t="s">
        <v>294</v>
      </c>
      <c r="I40" s="103"/>
      <c r="J40" s="103"/>
    </row>
    <row r="41" spans="1:10" ht="40.5" customHeight="1" x14ac:dyDescent="0.25">
      <c r="A41" s="100">
        <v>3</v>
      </c>
      <c r="B41" s="102" t="s">
        <v>263</v>
      </c>
      <c r="C41" s="234"/>
      <c r="D41" s="235"/>
      <c r="E41" s="234"/>
      <c r="F41" s="235"/>
      <c r="G41" s="233"/>
      <c r="H41" s="229"/>
      <c r="I41" s="103"/>
      <c r="J41" s="103"/>
    </row>
    <row r="42" spans="1:10" ht="35.25" customHeight="1" x14ac:dyDescent="0.25">
      <c r="A42" s="171" t="s">
        <v>117</v>
      </c>
      <c r="B42" s="105" t="s">
        <v>208</v>
      </c>
      <c r="C42" s="234">
        <v>44110</v>
      </c>
      <c r="D42" s="235">
        <v>44140</v>
      </c>
      <c r="E42" s="234">
        <v>44237</v>
      </c>
      <c r="F42" s="235">
        <v>44560</v>
      </c>
      <c r="G42" s="227">
        <v>1</v>
      </c>
      <c r="H42" s="229" t="s">
        <v>294</v>
      </c>
      <c r="I42" s="103"/>
      <c r="J42" s="103"/>
    </row>
    <row r="43" spans="1:10" ht="29.25" customHeight="1" x14ac:dyDescent="0.25">
      <c r="A43" s="171" t="s">
        <v>116</v>
      </c>
      <c r="B43" s="105" t="s">
        <v>115</v>
      </c>
      <c r="C43" s="234">
        <v>44532</v>
      </c>
      <c r="D43" s="235">
        <v>45168</v>
      </c>
      <c r="E43" s="234">
        <v>44331</v>
      </c>
      <c r="F43" s="235">
        <v>44505</v>
      </c>
      <c r="G43" s="227">
        <v>1</v>
      </c>
      <c r="H43" s="229" t="s">
        <v>294</v>
      </c>
      <c r="I43" s="103"/>
      <c r="J43" s="103"/>
    </row>
    <row r="44" spans="1:10" ht="24.75" customHeight="1" x14ac:dyDescent="0.25">
      <c r="A44" s="171" t="s">
        <v>114</v>
      </c>
      <c r="B44" s="105" t="s">
        <v>113</v>
      </c>
      <c r="C44" s="234">
        <v>44617</v>
      </c>
      <c r="D44" s="235">
        <v>45177</v>
      </c>
      <c r="E44" s="236">
        <v>44341</v>
      </c>
      <c r="F44" s="236">
        <v>45289</v>
      </c>
      <c r="G44" s="227">
        <v>1</v>
      </c>
      <c r="H44" s="229" t="s">
        <v>294</v>
      </c>
      <c r="I44" s="103"/>
      <c r="J44" s="103"/>
    </row>
    <row r="45" spans="1:10" ht="90.75" customHeight="1" x14ac:dyDescent="0.25">
      <c r="A45" s="171" t="s">
        <v>112</v>
      </c>
      <c r="B45" s="105" t="s">
        <v>213</v>
      </c>
      <c r="C45" s="234" t="s">
        <v>265</v>
      </c>
      <c r="D45" s="235" t="s">
        <v>265</v>
      </c>
      <c r="E45" s="237">
        <v>45379</v>
      </c>
      <c r="F45" s="237">
        <v>45379</v>
      </c>
      <c r="G45" s="227">
        <v>1</v>
      </c>
      <c r="H45" s="227">
        <v>1</v>
      </c>
      <c r="I45" s="103"/>
      <c r="J45" s="103"/>
    </row>
    <row r="46" spans="1:10" ht="167.25" customHeight="1" x14ac:dyDescent="0.25">
      <c r="A46" s="171" t="s">
        <v>110</v>
      </c>
      <c r="B46" s="105" t="s">
        <v>211</v>
      </c>
      <c r="C46" s="234" t="s">
        <v>265</v>
      </c>
      <c r="D46" s="235" t="s">
        <v>265</v>
      </c>
      <c r="E46" s="235" t="s">
        <v>265</v>
      </c>
      <c r="F46" s="235" t="s">
        <v>265</v>
      </c>
      <c r="G46" s="227" t="s">
        <v>294</v>
      </c>
      <c r="H46" s="229" t="s">
        <v>294</v>
      </c>
      <c r="I46" s="103"/>
      <c r="J46" s="103"/>
    </row>
    <row r="47" spans="1:10" ht="30.75" customHeight="1" x14ac:dyDescent="0.25">
      <c r="A47" s="171" t="s">
        <v>462</v>
      </c>
      <c r="B47" s="105" t="s">
        <v>111</v>
      </c>
      <c r="C47" s="231">
        <v>45387</v>
      </c>
      <c r="D47" s="231">
        <v>45394</v>
      </c>
      <c r="E47" s="238" t="s">
        <v>645</v>
      </c>
      <c r="F47" s="238" t="s">
        <v>646</v>
      </c>
      <c r="G47" s="227">
        <v>1</v>
      </c>
      <c r="H47" s="227">
        <v>1</v>
      </c>
      <c r="I47" s="103"/>
      <c r="J47" s="103"/>
    </row>
    <row r="48" spans="1:10" ht="37.5" customHeight="1" x14ac:dyDescent="0.25">
      <c r="A48" s="171">
        <v>4</v>
      </c>
      <c r="B48" s="51" t="s">
        <v>109</v>
      </c>
      <c r="C48" s="231"/>
      <c r="D48" s="232"/>
      <c r="E48" s="239"/>
      <c r="F48" s="239"/>
      <c r="G48" s="233"/>
      <c r="H48" s="227"/>
      <c r="I48" s="103"/>
      <c r="J48" s="103"/>
    </row>
    <row r="49" spans="1:10" ht="35.25" customHeight="1" x14ac:dyDescent="0.25">
      <c r="A49" s="171" t="s">
        <v>108</v>
      </c>
      <c r="B49" s="54" t="s">
        <v>107</v>
      </c>
      <c r="C49" s="231">
        <v>45397</v>
      </c>
      <c r="D49" s="231">
        <v>45401</v>
      </c>
      <c r="E49" s="238" t="s">
        <v>647</v>
      </c>
      <c r="F49" s="238" t="s">
        <v>648</v>
      </c>
      <c r="G49" s="227">
        <v>1</v>
      </c>
      <c r="H49" s="227">
        <v>1</v>
      </c>
      <c r="I49" s="103"/>
      <c r="J49" s="103"/>
    </row>
    <row r="50" spans="1:10" ht="86.25" customHeight="1" x14ac:dyDescent="0.25">
      <c r="A50" s="171" t="s">
        <v>106</v>
      </c>
      <c r="B50" s="54" t="s">
        <v>212</v>
      </c>
      <c r="C50" s="231">
        <v>45408</v>
      </c>
      <c r="D50" s="231">
        <v>45408</v>
      </c>
      <c r="E50" s="238" t="s">
        <v>650</v>
      </c>
      <c r="F50" s="238" t="s">
        <v>650</v>
      </c>
      <c r="G50" s="227">
        <v>1</v>
      </c>
      <c r="H50" s="227">
        <v>1</v>
      </c>
      <c r="I50" s="103"/>
      <c r="J50" s="103"/>
    </row>
    <row r="51" spans="1:10" ht="77.25" customHeight="1" x14ac:dyDescent="0.25">
      <c r="A51" s="171" t="s">
        <v>104</v>
      </c>
      <c r="B51" s="54" t="s">
        <v>214</v>
      </c>
      <c r="C51" s="231">
        <v>45401</v>
      </c>
      <c r="D51" s="231">
        <v>45401</v>
      </c>
      <c r="E51" s="238" t="s">
        <v>649</v>
      </c>
      <c r="F51" s="238" t="s">
        <v>649</v>
      </c>
      <c r="G51" s="227">
        <v>1</v>
      </c>
      <c r="H51" s="227" t="s">
        <v>294</v>
      </c>
      <c r="I51" s="103"/>
      <c r="J51" s="103"/>
    </row>
    <row r="52" spans="1:10" ht="71.25" customHeight="1" x14ac:dyDescent="0.25">
      <c r="A52" s="171" t="s">
        <v>102</v>
      </c>
      <c r="B52" s="54" t="s">
        <v>105</v>
      </c>
      <c r="C52" s="231" t="s">
        <v>265</v>
      </c>
      <c r="D52" s="232" t="s">
        <v>265</v>
      </c>
      <c r="E52" s="232" t="s">
        <v>265</v>
      </c>
      <c r="F52" s="232" t="s">
        <v>265</v>
      </c>
      <c r="G52" s="227" t="s">
        <v>294</v>
      </c>
      <c r="H52" s="227" t="s">
        <v>294</v>
      </c>
      <c r="I52" s="103"/>
      <c r="J52" s="103"/>
    </row>
    <row r="53" spans="1:10" ht="36" customHeight="1" x14ac:dyDescent="0.25">
      <c r="A53" s="171" t="s">
        <v>216</v>
      </c>
      <c r="B53" s="170" t="s">
        <v>215</v>
      </c>
      <c r="C53" s="231">
        <v>45408</v>
      </c>
      <c r="D53" s="231">
        <v>45408</v>
      </c>
      <c r="E53" s="238" t="s">
        <v>650</v>
      </c>
      <c r="F53" s="238" t="s">
        <v>650</v>
      </c>
      <c r="G53" s="227">
        <v>1</v>
      </c>
      <c r="H53" s="227">
        <v>1</v>
      </c>
      <c r="I53" s="103"/>
      <c r="J53" s="103"/>
    </row>
    <row r="54" spans="1:10" ht="36" customHeight="1" x14ac:dyDescent="0.25">
      <c r="A54" s="171" t="s">
        <v>463</v>
      </c>
      <c r="B54" s="54" t="s">
        <v>103</v>
      </c>
      <c r="C54" s="231" t="s">
        <v>265</v>
      </c>
      <c r="D54" s="232" t="s">
        <v>265</v>
      </c>
      <c r="E54" s="232" t="s">
        <v>265</v>
      </c>
      <c r="F54" s="232" t="s">
        <v>265</v>
      </c>
      <c r="G54" s="227" t="s">
        <v>294</v>
      </c>
      <c r="H54" s="227" t="s">
        <v>294</v>
      </c>
      <c r="I54" s="103"/>
      <c r="J54" s="103"/>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2025-03-12T09:48:17Z</dcterms:modified>
</cp:coreProperties>
</file>