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5285" yWindow="120" windowWidth="13560" windowHeight="12615" tabRatio="760" firstSheet="8" activeTab="11"/>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ПС'!$A$2:$T$103</definedName>
    <definedName name="_xlnm.Print_Area" localSheetId="3">'3.2 паспорт Техсостояние ЛЭП'!$A$1:$AA$154</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 name="_xlnm.Print_Area" localSheetId="11">'8. Общие сведения'!$A$1:$B$92</definedName>
  </definedNames>
  <calcPr calcId="162913"/>
</workbook>
</file>

<file path=xl/calcChain.xml><?xml version="1.0" encoding="utf-8"?>
<calcChain xmlns="http://schemas.openxmlformats.org/spreadsheetml/2006/main">
  <c r="B30" i="22" l="1"/>
  <c r="A5" i="7" l="1"/>
  <c r="B53" i="22" l="1"/>
  <c r="B48" i="22" l="1"/>
  <c r="B58" i="22" l="1"/>
  <c r="C69" i="22"/>
  <c r="C67" i="22" l="1"/>
  <c r="B57" i="22" l="1"/>
  <c r="G23" i="28" l="1"/>
  <c r="H23" i="28" s="1"/>
  <c r="I23" i="28" s="1"/>
  <c r="J23" i="28" s="1"/>
  <c r="K23" i="28" s="1"/>
  <c r="B33" i="22" l="1"/>
  <c r="B43" i="22" l="1"/>
  <c r="E22" i="16" l="1"/>
  <c r="A15" i="28" l="1"/>
  <c r="A12" i="28"/>
  <c r="A9" i="28"/>
  <c r="A8" i="28"/>
  <c r="A6" i="28"/>
  <c r="A4" i="28"/>
  <c r="A11" i="28"/>
  <c r="A5" i="22" l="1"/>
  <c r="T7" i="29"/>
  <c r="A5" i="16"/>
  <c r="A5" i="23"/>
  <c r="D5" i="27"/>
  <c r="G4" i="26"/>
  <c r="A5" i="6"/>
  <c r="A5" i="14"/>
  <c r="A6" i="25"/>
  <c r="F9" i="24"/>
  <c r="A12" i="22"/>
  <c r="T14" i="29"/>
  <c r="A12" i="16"/>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22" i="22" l="1"/>
  <c r="B23" i="22" l="1"/>
  <c r="D29" i="24" l="1"/>
  <c r="B29" i="22" l="1"/>
  <c r="G63" i="28" l="1"/>
  <c r="G61" i="28"/>
  <c r="G57" i="28"/>
  <c r="C55" i="28"/>
  <c r="G53" i="28"/>
  <c r="C52" i="28"/>
  <c r="G49" i="28"/>
  <c r="G47" i="28"/>
  <c r="C45" i="28"/>
  <c r="C42" i="28"/>
  <c r="C39" i="28"/>
  <c r="C37" i="28"/>
  <c r="C34" i="28"/>
  <c r="J28" i="28"/>
  <c r="K28" i="28" s="1"/>
  <c r="H26" i="28"/>
  <c r="G25" i="28"/>
  <c r="G45" i="28"/>
  <c r="C44" i="28"/>
  <c r="F44" i="28" s="1"/>
  <c r="C40" i="28"/>
  <c r="F40" i="28" s="1"/>
  <c r="E40" i="28" s="1"/>
  <c r="C38" i="28"/>
  <c r="C32" i="28"/>
  <c r="G29" i="28"/>
  <c r="C56" i="28"/>
  <c r="G54" i="28"/>
  <c r="C53" i="28"/>
  <c r="F53" i="28" s="1"/>
  <c r="E53" i="28" s="1"/>
  <c r="G50" i="28"/>
  <c r="C49" i="28"/>
  <c r="F49" i="28" s="1"/>
  <c r="E49" i="28" s="1"/>
  <c r="C46" i="28"/>
  <c r="G44" i="28"/>
  <c r="C41" i="28"/>
  <c r="F41" i="28" s="1"/>
  <c r="E41" i="28" s="1"/>
  <c r="C36" i="28"/>
  <c r="F36" i="28" s="1"/>
  <c r="E36" i="28" s="1"/>
  <c r="G32" i="28"/>
  <c r="E32" i="28" s="1"/>
  <c r="G31" i="28"/>
  <c r="E31" i="28" s="1"/>
  <c r="H28" i="28"/>
  <c r="G27" i="28"/>
  <c r="G26" i="28"/>
  <c r="G24" i="28"/>
  <c r="G64" i="28"/>
  <c r="G62" i="28"/>
  <c r="G60" i="28"/>
  <c r="C57" i="28"/>
  <c r="G55" i="28"/>
  <c r="G52" i="28"/>
  <c r="G48" i="28"/>
  <c r="C47" i="28"/>
  <c r="G33" i="28"/>
  <c r="E33" i="28" s="1"/>
  <c r="C31" i="28"/>
  <c r="G28" i="28"/>
  <c r="G46" i="28"/>
  <c r="H25" i="28"/>
  <c r="G56" i="28"/>
  <c r="C54" i="28"/>
  <c r="C48" i="28"/>
  <c r="F48" i="28" s="1"/>
  <c r="E48" i="28" s="1"/>
  <c r="C50" i="28"/>
  <c r="G34" i="28"/>
  <c r="E34" i="28" s="1"/>
  <c r="G30" i="28"/>
  <c r="J26" i="28"/>
  <c r="C33" i="28"/>
  <c r="C30" i="28"/>
  <c r="C49" i="7" s="1"/>
  <c r="J25" i="28"/>
  <c r="D26" i="28" l="1"/>
  <c r="D25" i="28"/>
  <c r="E44" i="28"/>
  <c r="K25" i="28"/>
  <c r="F25" i="28"/>
  <c r="E25" i="28" s="1"/>
  <c r="K26" i="28"/>
  <c r="F26" i="28"/>
  <c r="E26" i="28" s="1"/>
  <c r="I25" i="28"/>
  <c r="C25" i="28"/>
  <c r="D28" i="28"/>
  <c r="E28" i="28"/>
  <c r="I28" i="28"/>
  <c r="C28" i="28"/>
  <c r="E29" i="28"/>
  <c r="I26" i="28"/>
  <c r="C26" i="28"/>
  <c r="A15" i="7" l="1"/>
  <c r="O17" i="29" l="1"/>
  <c r="F19" i="24"/>
  <c r="A15" i="6"/>
  <c r="A15" i="22"/>
  <c r="C15" i="27"/>
  <c r="A16" i="25"/>
  <c r="A14" i="28"/>
  <c r="A15" i="16"/>
  <c r="E14" i="26"/>
  <c r="B21" i="22"/>
  <c r="A15" i="23"/>
  <c r="E15" i="14"/>
  <c r="I30" i="28" l="1"/>
  <c r="B27" i="22" l="1"/>
  <c r="B25" i="22"/>
  <c r="C28" i="6"/>
  <c r="C30" i="6"/>
  <c r="B26" i="22" s="1"/>
  <c r="B86" i="22" s="1"/>
  <c r="B44" i="22" l="1"/>
  <c r="B65" i="22" s="1"/>
  <c r="B49" i="22"/>
  <c r="B34" i="22"/>
  <c r="B54" i="22"/>
  <c r="C29" i="6"/>
  <c r="B63" i="22" l="1"/>
  <c r="B61" i="22" s="1"/>
  <c r="E30" i="28"/>
  <c r="F30" i="28"/>
  <c r="K24" i="28" l="1"/>
  <c r="H27" i="28" l="1"/>
  <c r="I27" i="28" s="1"/>
  <c r="D24" i="28" l="1"/>
  <c r="B67" i="22" s="1"/>
  <c r="B66" i="22" l="1"/>
  <c r="D67" i="22"/>
  <c r="J27" i="28"/>
  <c r="J24" i="28"/>
  <c r="K27" i="28" l="1"/>
  <c r="D27" i="28"/>
  <c r="J29" i="28"/>
  <c r="K29" i="28" l="1"/>
  <c r="D29" i="28"/>
  <c r="D30" i="28" l="1"/>
  <c r="D34" i="28" l="1"/>
  <c r="B69" i="22"/>
  <c r="D69" i="22" l="1"/>
  <c r="B68" i="22"/>
  <c r="D38" i="28" l="1"/>
  <c r="F38" i="28" s="1"/>
  <c r="E38" i="28" s="1"/>
  <c r="D55" i="28"/>
  <c r="F55" i="28" s="1"/>
  <c r="E55" i="28" s="1"/>
  <c r="D46" i="28"/>
  <c r="F46" i="28" s="1"/>
  <c r="E46" i="28" s="1"/>
  <c r="D52" i="28" l="1"/>
  <c r="F52" i="28" s="1"/>
  <c r="E52" i="28" s="1"/>
  <c r="D47" i="28" l="1"/>
  <c r="F47" i="28" s="1"/>
  <c r="E47" i="28" s="1"/>
  <c r="D39" i="28"/>
  <c r="F39" i="28" s="1"/>
  <c r="E39" i="28" s="1"/>
  <c r="D56" i="28"/>
  <c r="D54" i="28"/>
  <c r="D37" i="28"/>
  <c r="F37" i="28" s="1"/>
  <c r="E37" i="28" s="1"/>
  <c r="D45" i="28"/>
  <c r="F45" i="28" s="1"/>
  <c r="E45" i="28" s="1"/>
  <c r="D57" i="28"/>
  <c r="F57" i="28" s="1"/>
  <c r="E57" i="28" s="1"/>
  <c r="D42" i="28"/>
  <c r="F42" i="28" s="1"/>
  <c r="E42" i="28" s="1"/>
  <c r="D50" i="28"/>
  <c r="F50" i="28" s="1"/>
  <c r="E50" i="28" s="1"/>
  <c r="D25" i="6" l="1"/>
  <c r="F54" i="28"/>
  <c r="E54" i="28" s="1"/>
  <c r="E25" i="6"/>
  <c r="F56" i="28"/>
  <c r="E56" i="28" s="1"/>
  <c r="H30" i="28"/>
  <c r="H24" i="28" l="1"/>
  <c r="C24" i="28" l="1"/>
  <c r="C48" i="7" s="1"/>
  <c r="I24" i="28"/>
  <c r="H29" i="28"/>
  <c r="E24" i="28" l="1"/>
  <c r="F24" i="28"/>
  <c r="F27" i="28" s="1"/>
  <c r="E27" i="28" s="1"/>
  <c r="I29" i="28"/>
  <c r="C29" i="28"/>
  <c r="C27" i="28" s="1"/>
  <c r="I60" i="28" l="1"/>
  <c r="K62" i="28"/>
  <c r="I62" i="28"/>
  <c r="K64" i="28" l="1"/>
  <c r="K60" i="28"/>
  <c r="J62" i="28"/>
  <c r="J60" i="28"/>
  <c r="C61" i="28" l="1"/>
  <c r="F61" i="28" s="1"/>
  <c r="E61" i="28" s="1"/>
  <c r="H62" i="28"/>
  <c r="C63" i="28"/>
  <c r="F63" i="28" s="1"/>
  <c r="E63" i="28" s="1"/>
  <c r="H60" i="28"/>
  <c r="J64" i="28"/>
  <c r="K61" i="28" l="1"/>
  <c r="K63" i="28"/>
  <c r="J63" i="28" l="1"/>
  <c r="J61" i="28"/>
  <c r="K39" i="28" l="1"/>
  <c r="K47" i="28"/>
  <c r="H40" i="28"/>
  <c r="H48" i="28"/>
  <c r="H41" i="28"/>
  <c r="H49" i="28"/>
  <c r="H47" i="28"/>
  <c r="H39" i="28"/>
  <c r="J41" i="28"/>
  <c r="J49" i="28"/>
  <c r="J40" i="28"/>
  <c r="J48" i="28"/>
  <c r="K40" i="28"/>
  <c r="K48" i="28"/>
  <c r="K49" i="28"/>
  <c r="K41" i="28"/>
  <c r="I47" i="28" l="1"/>
  <c r="I39" i="28"/>
  <c r="I49" i="28"/>
  <c r="I41" i="28"/>
  <c r="I40" i="28"/>
  <c r="I48" i="28"/>
  <c r="J33" i="28" l="1"/>
  <c r="K33" i="28" s="1"/>
  <c r="K30" i="28"/>
  <c r="J32" i="28"/>
  <c r="K32" i="28" s="1"/>
  <c r="J34" i="28"/>
  <c r="K34" i="28" s="1"/>
  <c r="I31" i="28" l="1"/>
  <c r="J31" i="28"/>
  <c r="K31" i="28" s="1"/>
  <c r="K52" i="28" l="1"/>
  <c r="K56" i="28"/>
  <c r="K44" i="28" l="1"/>
  <c r="K36" i="28"/>
  <c r="K53" i="28"/>
  <c r="K46" i="28"/>
  <c r="K38" i="28"/>
  <c r="K55" i="28"/>
  <c r="K54" i="28"/>
  <c r="K45" i="28"/>
  <c r="K37" i="28"/>
  <c r="J36" i="28"/>
  <c r="J44" i="28"/>
  <c r="J53" i="28"/>
  <c r="K57" i="28" l="1"/>
  <c r="K42" i="28"/>
  <c r="K50" i="28"/>
  <c r="I55" i="28" l="1"/>
  <c r="I38" i="28"/>
  <c r="I46" i="28"/>
  <c r="I54" i="28"/>
  <c r="I37" i="28"/>
  <c r="I45" i="28"/>
  <c r="I61" i="28"/>
  <c r="I64" i="28"/>
  <c r="H61" i="28"/>
  <c r="I44" i="28" l="1"/>
  <c r="I53" i="28"/>
  <c r="I36" i="28"/>
  <c r="C60" i="28"/>
  <c r="F60" i="28" s="1"/>
  <c r="E60" i="28" s="1"/>
  <c r="C64" i="28" l="1"/>
  <c r="F64" i="28" s="1"/>
  <c r="E64" i="28" s="1"/>
  <c r="H64" i="28"/>
  <c r="J46" i="28" l="1"/>
  <c r="J38" i="28"/>
  <c r="J55" i="28"/>
  <c r="J39" i="28" l="1"/>
  <c r="J47" i="28"/>
  <c r="J56" i="28" l="1"/>
  <c r="J52" i="28"/>
  <c r="J45" i="28" l="1"/>
  <c r="J37" i="28"/>
  <c r="J54" i="28"/>
  <c r="J57" i="28"/>
  <c r="J50" i="28"/>
  <c r="J42" i="28"/>
  <c r="J30" i="28" l="1"/>
  <c r="H54" i="28" l="1"/>
  <c r="H37" i="28"/>
  <c r="H45" i="28"/>
  <c r="H38" i="28" l="1"/>
  <c r="H55" i="28"/>
  <c r="H46" i="28"/>
  <c r="H44" i="28"/>
  <c r="H36" i="28"/>
  <c r="H53" i="28"/>
  <c r="I52" i="28" l="1"/>
  <c r="I56" i="28"/>
  <c r="I63" i="28"/>
  <c r="H56" i="28" l="1"/>
  <c r="H52" i="28"/>
  <c r="H57" i="28" l="1"/>
  <c r="H50" i="28"/>
  <c r="H42" i="28"/>
  <c r="C62" i="28"/>
  <c r="F62" i="28" s="1"/>
  <c r="E62" i="28" s="1"/>
  <c r="H63" i="28"/>
  <c r="I57" i="28"/>
  <c r="I42" i="28"/>
  <c r="I50" i="28"/>
</calcChain>
</file>

<file path=xl/sharedStrings.xml><?xml version="1.0" encoding="utf-8"?>
<sst xmlns="http://schemas.openxmlformats.org/spreadsheetml/2006/main" count="4316" uniqueCount="794">
  <si>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</si>
  <si>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</si>
  <si>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</si>
  <si>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</si>
  <si>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</si>
  <si>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</si>
  <si>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</si>
  <si>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</si>
  <si>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</si>
  <si>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</si>
  <si>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</si>
  <si>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</si>
  <si>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</si>
  <si>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</si>
  <si>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</si>
  <si>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</si>
  <si>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</si>
  <si>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</si>
  <si>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</si>
  <si>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</si>
  <si>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</si>
  <si>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</si>
  <si>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</si>
  <si>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</si>
  <si>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</si>
  <si>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</si>
  <si>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</si>
  <si>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</si>
  <si>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</si>
  <si>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</si>
  <si>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</si>
  <si>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</si>
  <si>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</si>
  <si>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</si>
  <si>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</si>
  <si>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</si>
  <si>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</si>
  <si>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</si>
  <si>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</si>
  <si>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</si>
  <si>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</si>
  <si>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</si>
  <si>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</si>
  <si>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</si>
  <si>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</si>
  <si>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</si>
  <si>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</si>
  <si>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</si>
  <si>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</si>
  <si>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</si>
  <si>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</si>
  <si>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</si>
  <si>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</si>
  <si>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</si>
  <si>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</si>
  <si>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</si>
  <si>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</si>
  <si>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</si>
  <si>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</si>
  <si>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</si>
  <si>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</si>
  <si>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</si>
  <si>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</si>
  <si>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</si>
  <si>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</si>
  <si>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</si>
  <si>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</si>
  <si>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</si>
  <si>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</si>
  <si>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</si>
  <si>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</si>
  <si>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</si>
  <si>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</si>
  <si>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</si>
  <si>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</si>
  <si>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</si>
  <si>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</si>
  <si>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</si>
  <si>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</si>
  <si>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</si>
  <si>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</si>
  <si>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</si>
  <si>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</si>
  <si>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</si>
  <si>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</si>
  <si>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</si>
  <si>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</si>
  <si>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</si>
  <si>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</si>
  <si>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</si>
  <si>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</si>
  <si>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</si>
  <si>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</si>
  <si>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</si>
  <si>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</si>
  <si>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</si>
  <si>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</si>
  <si>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</si>
  <si>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</si>
  <si>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</si>
  <si>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</si>
  <si>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</si>
  <si>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</si>
  <si>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</si>
  <si>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</si>
  <si>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</si>
  <si>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</si>
  <si>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</si>
  <si>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</si>
  <si>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</si>
  <si>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</si>
  <si>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</si>
  <si>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</si>
  <si>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</si>
  <si>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</si>
  <si>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</si>
  <si>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</si>
  <si>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</si>
  <si>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</si>
  <si>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</si>
  <si>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</si>
  <si>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</si>
  <si>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</si>
  <si>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</si>
  <si>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</si>
  <si>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</si>
  <si>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</si>
  <si>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</si>
  <si>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</si>
  <si>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</si>
  <si>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</si>
  <si>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</si>
  <si>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</si>
  <si>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</si>
  <si>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</si>
  <si>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</si>
  <si>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</si>
  <si>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</si>
  <si>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</si>
  <si>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</si>
  <si>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</si>
  <si>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</si>
  <si>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</si>
  <si>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</si>
  <si>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</si>
  <si>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</si>
  <si>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</si>
  <si>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</si>
  <si>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</si>
  <si>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</si>
  <si>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</si>
  <si>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</si>
  <si>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</si>
  <si>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</si>
  <si>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</si>
  <si>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</si>
  <si>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</si>
  <si>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</si>
  <si>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</si>
  <si>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</si>
  <si>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</si>
  <si>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</si>
  <si>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</si>
  <si>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</si>
  <si>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</si>
  <si>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</si>
  <si>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</si>
  <si>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</si>
  <si>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</si>
  <si>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</si>
  <si>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</si>
  <si>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</si>
  <si>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</si>
  <si>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</si>
  <si>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</si>
  <si>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</si>
  <si>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</si>
  <si>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</si>
  <si>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</si>
  <si>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</si>
  <si>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</si>
  <si>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</si>
  <si>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</si>
  <si>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</si>
  <si>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</si>
  <si>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</si>
  <si>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</si>
  <si>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</si>
  <si>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</si>
  <si>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</si>
  <si>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</si>
  <si>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</si>
  <si>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</si>
  <si>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</si>
  <si>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</si>
  <si>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</si>
  <si>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</si>
  <si>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</si>
  <si>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</si>
  <si>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</si>
  <si>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</si>
  <si>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</si>
  <si>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</si>
  <si>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</si>
  <si>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</si>
  <si>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</si>
  <si>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</si>
  <si>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</si>
  <si>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</si>
  <si>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</si>
  <si>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</si>
  <si>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</si>
  <si>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</si>
  <si>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</si>
  <si>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</si>
  <si>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</si>
  <si>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</si>
  <si>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</si>
  <si>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</si>
  <si>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</si>
  <si>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</si>
  <si>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</si>
  <si>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</si>
  <si>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</si>
  <si>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</si>
  <si>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</si>
  <si>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</si>
  <si>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</si>
  <si>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</si>
  <si>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</si>
  <si>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</si>
  <si>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</si>
  <si>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</si>
  <si>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</si>
  <si>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</si>
  <si>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</si>
  <si>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</si>
  <si>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</si>
  <si>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</si>
  <si>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</si>
  <si>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</si>
  <si>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</si>
  <si>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</si>
  <si>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</si>
  <si>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</si>
  <si>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</si>
  <si>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</si>
  <si>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</si>
  <si>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</si>
  <si>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</si>
  <si>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</si>
  <si>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</si>
  <si>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</si>
  <si>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</si>
  <si>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</si>
  <si>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</si>
  <si>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</si>
  <si>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</si>
  <si>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</si>
  <si>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</si>
  <si>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</si>
  <si>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</si>
  <si>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</si>
  <si>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</si>
  <si>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</si>
  <si>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</si>
  <si>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</si>
  <si>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</si>
  <si>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</si>
  <si>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</si>
  <si>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</si>
  <si>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</si>
  <si>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</si>
  <si>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</si>
  <si>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</si>
  <si>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</si>
  <si>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</si>
  <si>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</si>
  <si>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</si>
  <si>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</si>
  <si>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</si>
  <si>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</si>
  <si>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</si>
  <si>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</si>
  <si>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</si>
  <si>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</si>
  <si>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</si>
  <si>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</si>
  <si>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</si>
  <si>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</si>
  <si>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</si>
  <si>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</si>
  <si>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</si>
  <si>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</si>
  <si>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</si>
  <si>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</si>
  <si>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</si>
  <si>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</si>
  <si>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</si>
  <si>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</si>
  <si>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</si>
  <si>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</si>
  <si>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</si>
  <si>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</si>
  <si>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</si>
  <si>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</si>
  <si>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</si>
  <si>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</si>
  <si>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</si>
  <si>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</si>
  <si>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</si>
  <si>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</si>
  <si>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</si>
  <si>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</si>
  <si>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</si>
  <si>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</si>
  <si>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</si>
  <si>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</si>
  <si>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</si>
  <si>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</si>
  <si>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</si>
  <si>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</si>
  <si>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</si>
  <si>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</si>
  <si>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</si>
  <si>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</si>
  <si>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</si>
  <si>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</si>
  <si>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</si>
  <si>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</si>
  <si>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</si>
  <si>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</si>
  <si>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</si>
  <si>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</si>
  <si>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</si>
  <si>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</si>
  <si>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</si>
  <si>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</si>
  <si>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</si>
  <si>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</si>
  <si>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</si>
  <si>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</si>
  <si>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</si>
  <si>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</si>
  <si>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</si>
  <si>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</si>
  <si>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</si>
  <si>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</si>
  <si>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</si>
  <si>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</si>
  <si>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</si>
  <si>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</si>
  <si>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</si>
  <si>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</si>
  <si>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</si>
  <si>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</si>
  <si>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</si>
  <si>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</si>
  <si>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</si>
  <si>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</si>
  <si>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</si>
  <si>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</si>
  <si>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</si>
  <si>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</si>
  <si>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</si>
  <si>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</si>
  <si>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</si>
  <si>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</si>
  <si>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</si>
  <si>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</si>
  <si>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</si>
  <si>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</si>
  <si>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</si>
  <si>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</si>
  <si>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</si>
  <si>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</si>
  <si>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</si>
  <si>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</si>
  <si>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</si>
  <si>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</si>
  <si>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</si>
  <si>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</si>
  <si>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</si>
  <si>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</si>
  <si>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</si>
  <si>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</si>
  <si>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</si>
  <si>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</si>
  <si>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</si>
  <si>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</si>
  <si>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</si>
  <si>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</si>
  <si>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</si>
  <si>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</si>
  <si>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</si>
  <si>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</si>
  <si>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</si>
  <si>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</si>
  <si>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</si>
  <si>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</si>
  <si>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</si>
  <si>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</si>
  <si>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</si>
  <si>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</si>
  <si>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</si>
  <si>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</si>
  <si>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</si>
  <si>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</si>
  <si>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</si>
  <si>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</si>
  <si>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</si>
  <si>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</si>
  <si>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</si>
  <si>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</si>
  <si>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</si>
  <si>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</si>
  <si>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</si>
  <si>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</si>
  <si>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</si>
  <si>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</si>
  <si>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</si>
  <si>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</si>
  <si>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</si>
  <si>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</si>
  <si>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</si>
  <si>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</si>
  <si>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</si>
  <si>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</si>
  <si>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</si>
  <si>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</si>
  <si>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</si>
  <si>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</si>
  <si>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</si>
  <si>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</si>
  <si>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</si>
  <si>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</si>
  <si>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</si>
  <si>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</si>
  <si>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</si>
  <si>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</si>
  <si>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</si>
  <si>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</si>
  <si>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</si>
  <si>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</si>
  <si>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</si>
  <si>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</si>
  <si>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</si>
  <si>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</si>
  <si>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</si>
  <si>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</si>
  <si>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</si>
  <si>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</si>
  <si>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</si>
  <si>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</si>
  <si>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</si>
  <si>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ССР</t>
  </si>
  <si>
    <t>ОК</t>
  </si>
  <si>
    <t>РСФ "МИР" ООО</t>
  </si>
  <si>
    <t>Утвержденная проектно-сметная документация</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</si>
  <si>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</si>
  <si>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</si>
  <si>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3.6.</t>
  </si>
  <si>
    <t>4.6.</t>
  </si>
  <si>
    <t>строительство и реконструкция</t>
  </si>
  <si>
    <t>ПАО "МРСК Северного Кавказа"</t>
  </si>
  <si>
    <t>Локально-сметные расчеты</t>
  </si>
  <si>
    <t>Конкурс</t>
  </si>
  <si>
    <t>ООО РСФ "МИР"                  ООО "Росэнергопроект"</t>
  </si>
  <si>
    <t>117950,43 118 033,76</t>
  </si>
  <si>
    <t>ООО "Росэнергопроект"</t>
  </si>
  <si>
    <t>117 950,43  118 033,76</t>
  </si>
  <si>
    <t xml:space="preserve">ООО РСФ "МИР"     </t>
  </si>
  <si>
    <t xml:space="preserve">B2B-Center </t>
  </si>
  <si>
    <t>СМР</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</si>
  <si>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</si>
  <si>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</si>
  <si>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</si>
  <si>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</si>
  <si>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</si>
  <si>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</si>
  <si>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</si>
  <si>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</si>
  <si>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СМР, оборудование, прочие</t>
  </si>
  <si>
    <t>531 821,68 532 354,56</t>
  </si>
  <si>
    <t>L_Che370</t>
  </si>
  <si>
    <t xml:space="preserve">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11.05.2018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одобрены Советом директоров ПАО «Россети».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2020-2022 годы.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t>
  </si>
  <si>
    <t>Реконструкция ВЛ 0,4 кВ Ф-1 ПС 35 кВ Красноармейская протеженностью 2,75 км, ВЛ 0,4 кВ Ф-3 ПС 35 кВ Калаус протеженностью 7,62 км, ВЛ 0,4 кВ Ф-5 ПС 35 кВ Калаус протеженностью 5,91 км, ВЛ 0,4 кВ Ф-3  ПС 110 кВ №84 протеженностью 9,04 км, ВЛ 0,4 кВ Ф-8  ПС 110 кВ №84 протеженностью 8,675 км, ВЛ 0,4 кВ Ф-5  ПС 110 ГРП протеженностью 8,57 км, ВЛ 0,4 кВ Ф-4  ПС 35 кВ Бердыкель протеженностью 21,535 км, ВЛ 0,4 кВ Ф-5  ПС 35 кВ Бердыкель протеженностью 9,94 км, ВЛ 0,4 кВ Ф-7  ПС 35 кВ Бердыкель  протеженностью 5,577 км, ВЛ 0,4 кВ Ф-6  ПС 35 кВ Бердыкель протеженностью 13,935 км, ВЛ 0,4 кВ Ф-2  ПС 110 кВ Октябрьская протеженностью 2,332 км, ВЛ 0,4 кВ Ф-3  ПС 110 кВ Октябрьская  протеженностью 24,789 км, ВЛ 0,4 кВ Ф-4  ПС 110 кВ Октябрьская протеженностью 12,781 км, ВЛ 0,4 кВ Ф-2  ПС 35 кВ Предгорная  протеженностью 11,876 км, ВЛ 0,4 кВ Ф-3  ПС 35 кВ Предгорная протеженностью 10,462 км, ВЛ 0,4 кВ Ф-4  ПС 35 кВ Предгорная  протеженностью 3,05 км, ВЛ 0,4 кВ Ф-5  ПС 35 кВ Предгорная протеженностью 4,07 км, ВЛ 0,4 кВ Ф-6  ПС 35 кВ Предгорная протеженностью 12,79 км, ВЛ 0,4 кВ Ф-2  ПС 35 кВ Предгорная протеженностью 3,33 км, ВЛ 0,4 кВ Ф-2  ПС 35 кВ Петропавловская протеженностью 7,4 км, ВЛ 0,4 кВ Ф-5  ПС 35 кВ Петропавловская  протеженностью 1,37 км, ВЛ 0,4 кВ Ф-2  ПС 35 кВ Толстой-Юрт протеженностью 8,967 км, ВЛ 0,4 кВ Ф-8  ПС 35 кВ Толстой-Юрт протеженностью 11,083 км, ВЛ 0,4 кВ Ф-1  ПС 35 кВ Правобережная протеженностью 8,927 км, ВЛ 0,4 кВ Ф-3  ПС 35 кВ Правобережная протеженностью 4,33 км, ВЛ 0,4 кВ Ф-4  ПС 35 кВ Озеро протеженностью 1,3 км,  ВЛ 0,4 кВ Ф-6  ПС 35 кВ Озеро протеженностью 3,23 км, ВЛ 0,4 кВ Ф-19  ПС 110 кВ ГРП-110 протеженностью 5,84 км, Строительство ВЛ 10 кВ Ф-3  ПС 110 кВ №84 протеженностью 0,53 км, ВЛ 10 кВ Ф-5  ПС 110 ГРП-110 протеженностью 0,28 км, ВЛ 10 кВ Ф-4  ПС 35 кВ Бердыкель протеженностью 1,18 км, ВЛ 10 кВ Ф-5  ПС 35 кВ Бердыкель протеженностью 0,435 км, ВЛ 10 кВ Ф-7  ПС 35 кВ Бердыкель протеженностью 0,015 км, ВЛ 10 кВ Ф-6  ПС 35 кВ Бердыкель протеженностью 0,185 км, ВЛ 10 кВ Ф-3  ПС 110 кВ Октябрьская протеженностью 1,01 км,  ВЛ 10 кВ Ф-3  ПС 35 кВ Предгорная протеженностью 0,27 км, ВЛ 10 кВ Ф-4  ПС 35 кВ Предгорная протеженностью 0,265 км, ВЛ 10 кВ Ф-5  ПС 35 кВ Предгорная  протеженностью 0,16 км, ВЛ 10 кВ Ф-6  ПС 35 кВ Предгорная протеженностью 0,9 км, ВЛ 10 кВ Ф-2  ПС 35 кВ Петропавловская протеженностью 0,02 км, ВЛ 10 кВ Ф-8  ПС 35 кВ Толстой-Юрт протеженностью 0,47 км, ВЛ 10 кВ Ф-1  ПС 35 кВ Правобережная протеженностью 0,65 км, ВЛ 10 кВ Ф-19  ПС 110 кВ ГРП-110 протеженностью 0,5 км,  ВЛ 10 кВ Ф-3 ПС 110 кВ Октябрьская  протеженностью 6,84 км, ВЛ 10 кВ Ф-2 ПС 35 кВ Предгорная протеженностью 4,3 км, ВЛ 10 кВ Ф-3 ПС 35 кВ Предгорная протеженностью  1,95 км, реконструкция ТП Ф-3 ПС 35 кВ Калаус мощностью 0,66 МВА, ТП Ф-5 ПС 35 кВ Калаус мощностью 0,48 МВА, ТП Ф-3  ПС 110 кВ №84 мощностью 0,41 МВА, ТП Ф-8  ПС 110 кВ №84 мощностью 1,05 МВА, ТП Ф-4  ПС 35 кВ Бердыкель  мощностью 0,5 МВА, ТП Ф-6  ПС 35 кВ Бердыкель мощностью 0,9 МВА, ТП Ф-3  ПС 110 кВ Октябрьская мощностью 1 МВА, ТП Ф-4  ПС 110 кВ Октябрьская мощностью 0,4 МВА, ТП Ф-2  ПС 35 кВ Предгорная  мощностью 0,9 МВА, ТП Ф-3  ПС 35 кВ Предгорная мощностью 0,5 МВА, ТП Ф-4  ПС 35 кВ Предгорная мощностью 0,25 МВА, ТП Ф-5  ПС 35 кВ Предгорная мощностью 0,25 МВА, ТП Ф-6  ПС 35 кВ Предгорная мощностью 0,16 МВА,  ТП Ф-2  ПС 35 кВ Предгорная мощностью 0,63 МВА, ТП Ф-2  ПС 35 кВ Петропавловская мощностью 0,063 МВА, ТП Ф-2  ПС 35 кВ Толстой-Юрт мощностью 0,9 МВА, ТП Ф-8  ПС 35 кВ Толстой-Юрт мощностью 0,32 МВА, ТП Ф-1  ПС 35 кВ Правобережная мощностью 0,16 МВА, ТП Ф-3  ПС 35 кВ Правобережная мощностью 0,25 МВА, ТП Ф-4  ПС 35 кВ Озеро мощностью 0,25 МВА, ТП Ф-6  ПС 35 кВ Озеро мощностью 0,4 МВА, строительство ТП Ф-3  ПС 110 кВ №84  мощностью 0,32 МВА, ТП Ф-5  ПС 110 ГРП-110  мощностью 0,16 МВА, ТП Ф-4  ПС 35 кВ Бердыкель   мощностью 0,48 МВА, ТП Ф-5  ПС 35 кВ Бердыкель мощностью 0,32 МВА,   ТП Ф-7  ПС 35 кВ Бердыкель мощностью 0,16 МВА, ТП Ф-6  ПС 35 кВ Бердыкель мощностью 0,16 МВА , ТП Ф-3  ПС 110 кВ Октябрьская мощностью 0,32 МВА , ТП Ф-3  ПС 35 кВ Предгорная мощностью 0,32 МВА, ТП Ф-4  ПС 35 кВ Предгорная мощностью 0,16 МВА, ТП Ф-5  ПС 35 кВ Предгорная мощностью 0,16 МВА, ТП Ф-6  ПС 35 кВ Предгорная мощностью 0,41 МВА, ТП Ф-2  ПС 35 кВ Петропавловская мощностью 0,25 МВА , ТП Ф-8  ПС 35 кВ Толстой-Юрт мощностью 0,16 МВА , ТП Ф-1  ПС 35 кВ Правобережная мощностью 0,16 МВА, ТП Ф-19  ПС 110 кВ ГРП-110 0,16 МВА трансформаторной мощности в рамках "Плана (программы) снижения потерь электрической энергии в электрических сетях АО "Чеченэнерго". Грозненские РЭС</t>
  </si>
  <si>
    <t xml:space="preserve"> ВЛ 0,4 кВ Ф-1 ПС 35 кВ Красноармейская  ТП 1-8</t>
  </si>
  <si>
    <t>АС-35</t>
  </si>
  <si>
    <t>СИП 4х50, СИП 4х70</t>
  </si>
  <si>
    <t>ВЛ</t>
  </si>
  <si>
    <t>СВ-110, СВ-95</t>
  </si>
  <si>
    <t>не осуществлялось</t>
  </si>
  <si>
    <t xml:space="preserve"> ВЛ 0,4 кВ Ф-3 ПС 35 кВ Калаус  ТП 3-2</t>
  </si>
  <si>
    <t xml:space="preserve"> ВЛ 0,4 кВ Ф-3 ПС 35 кВ Калаус  ТП 3-3</t>
  </si>
  <si>
    <t xml:space="preserve"> ВЛ 0,4 кВ Ф-3 ПС 35 кВ Калаус  ТП 3-4</t>
  </si>
  <si>
    <t xml:space="preserve"> ВЛ 0,4 кВ Ф-3 ПС 35 кВ Калаус  ТП 3-5</t>
  </si>
  <si>
    <t xml:space="preserve"> ВЛ 0,4 кВ Ф-3 ПС 35 кВ Калаус  ТП 3-7</t>
  </si>
  <si>
    <t xml:space="preserve"> ВЛ 0,4 кВ Ф-5 ПС 35 кВ Калаус  ТП 5-4</t>
  </si>
  <si>
    <t xml:space="preserve"> ВЛ 0,4 кВ Ф-5 ПС 35 кВ Калаус  ТП 5-5</t>
  </si>
  <si>
    <t xml:space="preserve"> ВЛ 0,4 кВ Ф-5 ПС 35 кВ Калаус  ТП 5-2</t>
  </si>
  <si>
    <t xml:space="preserve"> ВЛ 0,4 кВ Ф-3  ПС 110 кВ №84 ТП 3-9</t>
  </si>
  <si>
    <t xml:space="preserve"> ВЛ 0,4 кВ Ф-3  ПС 110 кВ №84 ТП 3-15</t>
  </si>
  <si>
    <t xml:space="preserve"> ВЛ 0,4 кВ Ф-3  ПС 110 кВ №84 ТП 3-14</t>
  </si>
  <si>
    <t xml:space="preserve"> ВЛ 0,4 кВ Ф-3  ПС 110 кВ №84 ТП 3-14А</t>
  </si>
  <si>
    <t xml:space="preserve"> ВЛ 0,4 кВ Ф-3  ПС 110 кВ №84 ТП 3-1А</t>
  </si>
  <si>
    <t xml:space="preserve"> ВЛ 0,4 кВ Ф-8  ПС 110 кВ №84 ТП 8-2</t>
  </si>
  <si>
    <t xml:space="preserve"> ВЛ 0,4 кВ Ф-8  ПС 110 кВ №84 ТП 8-9</t>
  </si>
  <si>
    <t xml:space="preserve"> ВЛ 0,4 кВ Ф-8  ПС 110 кВ №84 ТП 8-24</t>
  </si>
  <si>
    <t xml:space="preserve"> ВЛ 0,4 кВ Ф-8  ПС 110 кВ №84 ТП 8-25</t>
  </si>
  <si>
    <t xml:space="preserve"> ВЛ 0,4 кВ Ф-5  ПС 110 ГРП-110 ТП 5-11</t>
  </si>
  <si>
    <t xml:space="preserve"> ВЛ 0,4 кВ Ф-5  ПС 110 ГРП-110 ТП 5-18</t>
  </si>
  <si>
    <t xml:space="preserve"> ВЛ 0,4 кВ Ф-5  ПС 110 ГРП-110 ТП 5-18А</t>
  </si>
  <si>
    <t xml:space="preserve"> ВЛ 0,4 кВ Ф-5  ПС 110 ГРП-110 ТП 5-22</t>
  </si>
  <si>
    <t xml:space="preserve"> ВЛ 0,4 кВ Ф-4  ПС 35 кВ Бердыкель  ТП 4-13</t>
  </si>
  <si>
    <t xml:space="preserve"> ВЛ 0,4 кВ Ф-4  ПС 35 кВ Бердыкель  ТП 4-15</t>
  </si>
  <si>
    <t xml:space="preserve"> ВЛ 0,4 кВ Ф-4  ПС 35 кВ Бердыкель  ТП 4-17</t>
  </si>
  <si>
    <t xml:space="preserve"> ВЛ 0,4 кВ Ф-4  ПС 35 кВ Бердыкель  ТП 4-18</t>
  </si>
  <si>
    <t xml:space="preserve"> ВЛ 0,4 кВ Ф-4  ПС 35 кВ Бердыкель  ТП 4-4</t>
  </si>
  <si>
    <t xml:space="preserve"> ВЛ 0,4 кВ Ф-4  ПС 35 кВ Бердыкель  ТП 4-4А</t>
  </si>
  <si>
    <t xml:space="preserve"> ВЛ 0,4 кВ Ф-4  ПС 35 кВ Бердыкель  ТП 4-16</t>
  </si>
  <si>
    <t xml:space="preserve"> ВЛ 0,4 кВ Ф-4  ПС 35 кВ Бердыкель  ТП 4-16А</t>
  </si>
  <si>
    <t xml:space="preserve"> ВЛ 0,4 кВ Ф-4  ПС 35 кВ Бердыкель  ТП 4-22</t>
  </si>
  <si>
    <t xml:space="preserve"> ВЛ 0,4 кВ Ф-4  ПС 35 кВ Бердыкель  ТП 4-22А</t>
  </si>
  <si>
    <t xml:space="preserve"> ВЛ 0,4 кВ Ф-5  ПС 35 кВ Бердыкель  ТП 5-4</t>
  </si>
  <si>
    <t xml:space="preserve"> ВЛ 0,4 кВ Ф-5  ПС 35 кВ Бердыкель  ТП 5-5</t>
  </si>
  <si>
    <t xml:space="preserve"> ВЛ 0,4 кВ Ф-5  ПС 35 кВ Бердыкель  ТП 5-2</t>
  </si>
  <si>
    <t xml:space="preserve"> ВЛ 0,4 кВ Ф-5  ПС 35 кВ Бердыкель  ТП 5-2А</t>
  </si>
  <si>
    <t xml:space="preserve"> ВЛ 0,4 кВ Ф-5  ПС 35 кВ Бердыкель  ТП 5-2Б</t>
  </si>
  <si>
    <t xml:space="preserve"> ВЛ 0,4 кВ Ф-7  ПС 35 кВ Бердыкель  ТП 7-20</t>
  </si>
  <si>
    <t xml:space="preserve"> ВЛ 0,4 кВ Ф-7  ПС 35 кВ Бердыкель  ТП 7-20А</t>
  </si>
  <si>
    <t xml:space="preserve"> ВЛ 0,4 кВ Ф-7  ПС 35 кВ Бердыкель  ТП 7-21</t>
  </si>
  <si>
    <t xml:space="preserve"> ВЛ 0,4 кВ Ф-6  ПС 35 кВ Бердыкель  ТП 6-3</t>
  </si>
  <si>
    <t xml:space="preserve"> ВЛ 0,4 кВ Ф-6  ПС 35 кВ Бердыкель  ТП 6-4</t>
  </si>
  <si>
    <t xml:space="preserve"> ВЛ 0,4 кВ Ф-6  ПС 35 кВ Бердыкель  ТП 6-4А</t>
  </si>
  <si>
    <t xml:space="preserve"> ВЛ 0,4 кВ Ф-6  ПС 35 кВ Бердыкель  ТП 6-6</t>
  </si>
  <si>
    <t xml:space="preserve"> ВЛ 0,4 кВ Ф-6  ПС 35 кВ Бердыкель  ТП 6-7</t>
  </si>
  <si>
    <t xml:space="preserve"> ВЛ 0,4 кВ Ф-6  ПС 35 кВ Бердыкель  ТП 6-8</t>
  </si>
  <si>
    <t xml:space="preserve"> ВЛ 0,4 кВ Ф-2  ПС 110 кВ Октябрьская  ТП 2-16</t>
  </si>
  <si>
    <t xml:space="preserve"> ВЛ 0,4 кВ Ф-3  ПС 110 кВ Октябрьская  ТП 3-1</t>
  </si>
  <si>
    <t xml:space="preserve"> ВЛ 0,4 кВ Ф-3  ПС 110 кВ Октябрьская  ТП 3-12</t>
  </si>
  <si>
    <t xml:space="preserve"> ВЛ 0,4 кВ Ф-3  ПС 110 кВ Октябрьская  ТП 3-14</t>
  </si>
  <si>
    <t xml:space="preserve"> ВЛ 0,4 кВ Ф-3  ПС 110 кВ Октябрьская  ТП 3-15</t>
  </si>
  <si>
    <t xml:space="preserve"> ВЛ 0,4 кВ Ф-3  ПС 110 кВ Октябрьская  ТП 3-17</t>
  </si>
  <si>
    <t xml:space="preserve"> ВЛ 0,4 кВ Ф-3  ПС 110 кВ Октябрьская  ТП 3-46</t>
  </si>
  <si>
    <t xml:space="preserve"> ВЛ 0,4 кВ Ф-3  ПС 110 кВ Октябрьская  ТП 3-4</t>
  </si>
  <si>
    <t xml:space="preserve"> ВЛ 0,4 кВ Ф-3  ПС 110 кВ Октябрьская  ТП 3-5</t>
  </si>
  <si>
    <t xml:space="preserve"> ВЛ 0,4 кВ Ф-3  ПС 110 кВ Октябрьская  ТП 3-5А</t>
  </si>
  <si>
    <t xml:space="preserve"> ВЛ 0,4 кВ Ф-3  ПС 110 кВ Октябрьская  ТП 3-13А</t>
  </si>
  <si>
    <t xml:space="preserve"> ВЛ 0,4 кВ Ф-3  ПС 110 кВ Октябрьская  ТП 3-13</t>
  </si>
  <si>
    <t xml:space="preserve"> ВЛ 0,4 кВ Ф-4  ПС 110 кВ Октябрьская  ТП 4-3</t>
  </si>
  <si>
    <t xml:space="preserve"> ВЛ 0,4 кВ Ф-4  ПС 110 кВ Октябрьская  ТП 4-8</t>
  </si>
  <si>
    <t xml:space="preserve"> ВЛ 0,4 кВ Ф-4  ПС 110 кВ Октябрьская  ТП 4-13</t>
  </si>
  <si>
    <t xml:space="preserve"> ВЛ 0,4 кВ Ф-4  ПС 110 кВ Октябрьская  ТП 4-15</t>
  </si>
  <si>
    <t xml:space="preserve"> ВЛ 0,4 кВ Ф-4  ПС 110 кВ Октябрьская  ТП 4-20</t>
  </si>
  <si>
    <t xml:space="preserve"> ВЛ 0,4 кВ Ф-2  ПС 35 кВ Предгорная  ТП 2-13</t>
  </si>
  <si>
    <t xml:space="preserve"> ВЛ 0,4 кВ Ф-2  ПС 35 кВ Предгорная  ТП 2-15</t>
  </si>
  <si>
    <t xml:space="preserve"> ВЛ 0,4 кВ Ф-2  ПС 35 кВ Предгорная  ТП 2-18</t>
  </si>
  <si>
    <t xml:space="preserve"> ВЛ 0,4 кВ Ф-2  ПС 35 кВ Предгорная  ТП 2-19</t>
  </si>
  <si>
    <t xml:space="preserve"> ВЛ 0,4 кВ Ф-2  ПС 35 кВ Предгорная  ТП 2-20</t>
  </si>
  <si>
    <t xml:space="preserve"> ВЛ 0,4 кВ Ф-3  ПС 35 кВ Предгорная  ТП 3-7А</t>
  </si>
  <si>
    <t xml:space="preserve"> ВЛ 0,4 кВ Ф-3  ПС 35 кВ Предгорная  ТП 3-7</t>
  </si>
  <si>
    <t xml:space="preserve"> ВЛ 0,4 кВ Ф-3  ПС 35 кВ Предгорная  ТП 3-9</t>
  </si>
  <si>
    <t xml:space="preserve"> ВЛ 0,4 кВ Ф-3  ПС 35 кВ Предгорная  ТП 3-10</t>
  </si>
  <si>
    <t xml:space="preserve"> ВЛ 0,4 кВ Ф-3  ПС 35 кВ Предгорная  ТП 3-13</t>
  </si>
  <si>
    <t xml:space="preserve"> ВЛ 0,4 кВ Ф-3  ПС 35 кВ Предгорная  ТП 3-13А</t>
  </si>
  <si>
    <t xml:space="preserve"> ВЛ 0,4 кВ Ф-4  ПС 35 кВ Предгорная  ТП 4-5</t>
  </si>
  <si>
    <t xml:space="preserve"> ВЛ 0,4 кВ Ф-4  ПС 35 кВ Предгорная  ТП 4-5А</t>
  </si>
  <si>
    <t xml:space="preserve"> ВЛ 0,4 кВ Ф-5  ПС 35 кВ Предгорная  ТП 5-3А</t>
  </si>
  <si>
    <t xml:space="preserve"> ВЛ 0,4 кВ Ф-5  ПС 35 кВ Предгорная  ТП 5-3</t>
  </si>
  <si>
    <t xml:space="preserve"> ВЛ 0,4 кВ Ф-6  ПС 35 кВ Предгорная  ТП 6-5А</t>
  </si>
  <si>
    <t xml:space="preserve"> ВЛ 0,4 кВ Ф-6  ПС 35 кВ Предгорная  ТП 6-5</t>
  </si>
  <si>
    <t xml:space="preserve"> ВЛ 0,4 кВ Ф-6  ПС 35 кВ Предгорная  ТП 6-6А</t>
  </si>
  <si>
    <t xml:space="preserve"> ВЛ 0,4 кВ Ф-6  ПС 35 кВ Предгорная  ТП 6-6</t>
  </si>
  <si>
    <t xml:space="preserve"> ВЛ 0,4 кВ Ф-2  ПС 35 кВ Предгорная  ТП 2-2</t>
  </si>
  <si>
    <t xml:space="preserve"> ВЛ 0,4 кВ Ф-2  ПС 35 кВ Петропавловская ТП 2-6</t>
  </si>
  <si>
    <t xml:space="preserve"> ВЛ 0,4 кВ Ф-2  ПС 35 кВ Петропавловская ТП 2-5А</t>
  </si>
  <si>
    <t xml:space="preserve"> ВЛ 0,4 кВ Ф-2  ПС 35 кВ Петропавловская ТП 2-5</t>
  </si>
  <si>
    <t xml:space="preserve"> ВЛ 0,4 кВ Ф-5  ПС 35 кВ Петропавловская ТП 5-4</t>
  </si>
  <si>
    <t xml:space="preserve"> ВЛ 0,4 кВ Ф-2  ПС 35 кВ Толстой-Юрт ТП 2-3</t>
  </si>
  <si>
    <t xml:space="preserve"> ВЛ 0,4 кВ Ф-2  ПС 35 кВ Толстой-Юрт ТП 2-4</t>
  </si>
  <si>
    <t xml:space="preserve"> ВЛ 0,4 кВ Ф-2  ПС 35 кВ Толстой-Юрт ТП 2-8</t>
  </si>
  <si>
    <t xml:space="preserve"> ВЛ 0,4 кВ Ф-8  ПС 35 кВ Толстой-Юрт ТП 8-9</t>
  </si>
  <si>
    <t xml:space="preserve"> ВЛ 0,4 кВ Ф-8  ПС 35 кВ Толстой-Юрт ТП 8-10</t>
  </si>
  <si>
    <t xml:space="preserve"> ВЛ 0,4 кВ Ф-8  ПС 35 кВ Толстой-Юрт ТП 8-14</t>
  </si>
  <si>
    <t xml:space="preserve"> ВЛ 0,4 кВ Ф-8  ПС 35 кВ Толстой-Юрт ТП 8-14А</t>
  </si>
  <si>
    <t xml:space="preserve"> ВЛ 0,4 кВ Ф-1  ПС 35 кВ Правобережная ТП 1-2</t>
  </si>
  <si>
    <t xml:space="preserve"> ВЛ 0,4 кВ Ф-1  ПС 35 кВ Правобережная ТП 1-14</t>
  </si>
  <si>
    <t xml:space="preserve"> ВЛ 0,4 кВ Ф-1  ПС 35 кВ Правобережная ТП 1-15</t>
  </si>
  <si>
    <t xml:space="preserve"> ВЛ 0,4 кВ Ф-1  ПС 35 кВ Правобережная ТП 1-15А</t>
  </si>
  <si>
    <t xml:space="preserve"> ВЛ 0,4 кВ Ф-1  ПС 35 кВ Правобережная ТП 1-16</t>
  </si>
  <si>
    <t xml:space="preserve"> ВЛ 0,4 кВ Ф-3  ПС 35 кВ Правобережная ТП 3-3</t>
  </si>
  <si>
    <t xml:space="preserve"> ВЛ 0,4 кВ Ф-3  ПС 35 кВ Правобережная ТП 3-7</t>
  </si>
  <si>
    <t xml:space="preserve"> ВЛ 0,4 кВ Ф-4  ПС 35 кВ Озеро ТП 4-1</t>
  </si>
  <si>
    <t xml:space="preserve"> ВЛ 0,4 кВ Ф-6  ПС 35 кВ Озеро ТП 6-1</t>
  </si>
  <si>
    <t xml:space="preserve"> ВЛ 0,4 кВ Ф-19  ПС 110 кВ ГРП-110 ТП 19-2А</t>
  </si>
  <si>
    <t xml:space="preserve"> ВЛ 0,4 кВ Ф-19  ПС 110 кВ ГРП-110 ТП 19-2</t>
  </si>
  <si>
    <t xml:space="preserve"> ВЛ 10 кВ Ф-3  ПС 110 кВ №84 ТП 3-14А</t>
  </si>
  <si>
    <t>АС-50</t>
  </si>
  <si>
    <t>СВ-110</t>
  </si>
  <si>
    <t xml:space="preserve"> ВЛ 10 кВ Ф-3  ПС 110 кВ №84 ТП 3-1А</t>
  </si>
  <si>
    <t xml:space="preserve"> ВЛ 10 кВ Ф-5  ПС 110 ГРП-110 ТП 5-18А</t>
  </si>
  <si>
    <t xml:space="preserve"> ВЛ 10 кВ Ф-4  ПС 35 кВ Бердыкель  ТП 4-4А</t>
  </si>
  <si>
    <t xml:space="preserve"> ВЛ 10 кВ Ф-4  ПС 35 кВ Бердыкель  ТП 4-16А</t>
  </si>
  <si>
    <t xml:space="preserve"> ВЛ 10 кВ Ф-4  ПС 35 кВ Бердыкель  ТП 4-22А</t>
  </si>
  <si>
    <t xml:space="preserve"> ВЛ 10 кВ Ф-5  ПС 35 кВ Бердыкель  ТП 5-2А</t>
  </si>
  <si>
    <t xml:space="preserve"> ВЛ 10 кВ Ф-5  ПС 35 кВ Бердыкель  ТП 5-2Б</t>
  </si>
  <si>
    <t xml:space="preserve"> ВЛ 10 кВ Ф-7  ПС 35 кВ Бердыкель  ТП 7-20А</t>
  </si>
  <si>
    <t xml:space="preserve"> ВЛ 10 кВ Ф-6  ПС 35 кВ Бердыкель  ТП 6-4А</t>
  </si>
  <si>
    <t xml:space="preserve"> ВЛ 10 кВ Ф-3  ПС 110 кВ Октябрьская  ТП 3-5А</t>
  </si>
  <si>
    <t xml:space="preserve"> ВЛ 10 кВ Ф-3  ПС 110 кВ Октябрьская  ТП 3-13А</t>
  </si>
  <si>
    <t xml:space="preserve"> ВЛ 10 кВ Ф-3  ПС 35 кВ Предгорная  ТП 3-7А</t>
  </si>
  <si>
    <t xml:space="preserve"> ВЛ 10 кВ Ф-3  ПС 35 кВ Предгорная  ТП 3-13А</t>
  </si>
  <si>
    <t xml:space="preserve"> ВЛ 10 кВ Ф-4  ПС 35 кВ Предгорная  ТП 4-5А</t>
  </si>
  <si>
    <t xml:space="preserve"> ВЛ 10 кВ Ф-5  ПС 35 кВ Предгорная  ТП 5-3А</t>
  </si>
  <si>
    <t xml:space="preserve"> ВЛ 10 кВ Ф-6  ПС 35 кВ Предгорная  ТП 6-5А</t>
  </si>
  <si>
    <t xml:space="preserve"> ВЛ 10 кВ Ф-6  ПС 35 кВ Предгорная  ТП 6-6А</t>
  </si>
  <si>
    <t xml:space="preserve"> ВЛ 10 кВ Ф-2  ПС 35 кВ Петропавловская ТП 2-5А</t>
  </si>
  <si>
    <t xml:space="preserve"> ВЛ 10 кВ Ф-8  ПС 35 кВ Толстой-Юрт ТП 8-14А</t>
  </si>
  <si>
    <t xml:space="preserve"> ВЛ 10 кВ Ф-1  ПС 35 кВ Правобережная ТП 1-15А</t>
  </si>
  <si>
    <t xml:space="preserve"> ВЛ 10 кВ Ф-19  ПС 110 кВ ГРП-110 ТП 19-2А</t>
  </si>
  <si>
    <t xml:space="preserve"> ВЛ 10 кВ Ф-3 ПС 110 кВ Октябрьская </t>
  </si>
  <si>
    <t xml:space="preserve"> ВЛ 10 кВ Ф-2 ПС 35 кВ Предгорная </t>
  </si>
  <si>
    <t xml:space="preserve"> ВЛ 10 кВ Ф-3 ПС 35 кВ Предгорная</t>
  </si>
  <si>
    <t xml:space="preserve"> ТП Ф-3 ПС 35 кВ Калаус  ТП 3-4</t>
  </si>
  <si>
    <t>ТМГ</t>
  </si>
  <si>
    <t>КТП с ТМ</t>
  </si>
  <si>
    <t>КТПн с ТМГ</t>
  </si>
  <si>
    <t>ТП 3-4</t>
  </si>
  <si>
    <t>2020-2021</t>
  </si>
  <si>
    <t xml:space="preserve"> ТП Ф-3 ПС 35 кВ Калаус  ТП 3-5</t>
  </si>
  <si>
    <t>ТП 3-5</t>
  </si>
  <si>
    <t xml:space="preserve"> ТП Ф-3 ПС 35 кВ Калаус  ТП 3-7</t>
  </si>
  <si>
    <t>ТП 3-7</t>
  </si>
  <si>
    <t xml:space="preserve"> ТП Ф-5 ПС 35 кВ Калаус  ТП 5-4</t>
  </si>
  <si>
    <t>ТП 5-4</t>
  </si>
  <si>
    <t xml:space="preserve"> ТП Ф-5 ПС 35 кВ Калаус  ТП 5-5</t>
  </si>
  <si>
    <t>ТП 5-5</t>
  </si>
  <si>
    <t xml:space="preserve"> ТП Ф-5 ПС 35 кВ Калаус  ТП 5-2</t>
  </si>
  <si>
    <t>ТП 5-2</t>
  </si>
  <si>
    <t xml:space="preserve"> ТП Ф-3  ПС 110 кВ №84 ТП 3-9</t>
  </si>
  <si>
    <t>ТП 3-9</t>
  </si>
  <si>
    <t xml:space="preserve"> ТП Ф-3  ПС 110 кВ №84 ТП 3-15</t>
  </si>
  <si>
    <t>ТП 3-15</t>
  </si>
  <si>
    <t xml:space="preserve"> ТП Ф-8  ПС 110 кВ №84 ТП 8-2</t>
  </si>
  <si>
    <t>ТП 8-2</t>
  </si>
  <si>
    <t xml:space="preserve"> ТП Ф-8  ПС 110 кВ №84 ТП 8-9</t>
  </si>
  <si>
    <t>ТП 8-9</t>
  </si>
  <si>
    <t xml:space="preserve"> ТП Ф-8  ПС 110 кВ №84 ТП 8-25</t>
  </si>
  <si>
    <t>ТП 8-25</t>
  </si>
  <si>
    <t xml:space="preserve"> ТП Ф-4  ПС 35 кВ Бердыкель  ТП 4-13</t>
  </si>
  <si>
    <t>ТП 4-13</t>
  </si>
  <si>
    <t xml:space="preserve"> ТП Ф-4  ПС 35 кВ Бердыкель  ТП 4-15</t>
  </si>
  <si>
    <t>ТП 4-15</t>
  </si>
  <si>
    <t xml:space="preserve"> ТП Ф-6  ПС 35 кВ Бердыкель  ТП 6-3</t>
  </si>
  <si>
    <t>ТП 6-3</t>
  </si>
  <si>
    <t xml:space="preserve"> ТП Ф-6  ПС 35 кВ Бердыкель  ТП 6-4</t>
  </si>
  <si>
    <t>ТП 6-4</t>
  </si>
  <si>
    <t xml:space="preserve"> ТП Ф-6  ПС 35 кВ Бердыкель  ТП 6-6</t>
  </si>
  <si>
    <t>ТП 6-6</t>
  </si>
  <si>
    <t xml:space="preserve"> ТП Ф-3  ПС 110 кВ Октябрьская  ТП 3-12</t>
  </si>
  <si>
    <t>ТП 3-12</t>
  </si>
  <si>
    <t xml:space="preserve"> ТП Ф-3  ПС 110 кВ Октябрьская  ТП 3-14</t>
  </si>
  <si>
    <t>ТП 3-14</t>
  </si>
  <si>
    <t xml:space="preserve"> ТП Ф-3  ПС 110 кВ Октябрьская  ТП 3-17</t>
  </si>
  <si>
    <t xml:space="preserve"> ТП 3-17</t>
  </si>
  <si>
    <t xml:space="preserve"> ТП Ф-3  ПС 110 кВ Октябрьская  ТП 3-4</t>
  </si>
  <si>
    <t xml:space="preserve"> ТП Ф-4  ПС 110 кВ Октябрьская  ТП 4-20</t>
  </si>
  <si>
    <t>ТП 4-20</t>
  </si>
  <si>
    <t xml:space="preserve"> ТП Ф-2  ПС 35 кВ Предгорная  ТП 2-13</t>
  </si>
  <si>
    <t>ТП 2-13</t>
  </si>
  <si>
    <t xml:space="preserve"> ТП Ф-2  ПС 35 кВ Предгорная  ТП 2-15</t>
  </si>
  <si>
    <t>ТП 2-15</t>
  </si>
  <si>
    <t xml:space="preserve"> ТП Ф-2  ПС 35 кВ Предгорная  ТП 2-18</t>
  </si>
  <si>
    <t>ТП 2-18</t>
  </si>
  <si>
    <t xml:space="preserve"> ТП Ф-3  ПС 35 кВ Предгорная  ТП 3-9</t>
  </si>
  <si>
    <t xml:space="preserve"> ТП Ф-3  ПС 35 кВ Предгорная  ТП 3-13</t>
  </si>
  <si>
    <t>ТП 3-13</t>
  </si>
  <si>
    <t xml:space="preserve"> ТП Ф-4  ПС 35 кВ Предгорная  ТП 4-5</t>
  </si>
  <si>
    <t>ТП 4-5</t>
  </si>
  <si>
    <t xml:space="preserve"> ТП Ф-5  ПС 35 кВ Предгорная  ТП 5-3</t>
  </si>
  <si>
    <t>ТП 5-3</t>
  </si>
  <si>
    <t xml:space="preserve"> ТП Ф-6  ПС 35 кВ Предгорная  ТП 6-6</t>
  </si>
  <si>
    <t xml:space="preserve"> ТП 6-6</t>
  </si>
  <si>
    <t xml:space="preserve"> ТП Ф-2  ПС 35 кВ Предгорная  ТП 2-2</t>
  </si>
  <si>
    <t>ТП 2-2</t>
  </si>
  <si>
    <t xml:space="preserve"> ТП Ф-2  ПС 35 кВ Петропавловская ТП 2-6</t>
  </si>
  <si>
    <t>ТП 2-6</t>
  </si>
  <si>
    <t xml:space="preserve"> ТП Ф-2  ПС 35 кВ Толстой-Юрт ТП 2-3</t>
  </si>
  <si>
    <t>ТП 2-3</t>
  </si>
  <si>
    <t xml:space="preserve"> ТП Ф-2  ПС 35 кВ Толстой-Юрт ТП 2-4</t>
  </si>
  <si>
    <t>ТП 2-4</t>
  </si>
  <si>
    <t xml:space="preserve"> ТП Ф-2  ПС 35 кВ Толстой-Юрт ТП 2-8</t>
  </si>
  <si>
    <t>ТП 2-8</t>
  </si>
  <si>
    <t xml:space="preserve"> ТП Ф-8  ПС 35 кВ Толстой-Юрт ТП 8-9</t>
  </si>
  <si>
    <t xml:space="preserve"> ТП Ф-8  ПС 35 кВ Толстой-Юрт ТП 8-10</t>
  </si>
  <si>
    <t>ТП 8-10</t>
  </si>
  <si>
    <t xml:space="preserve"> ТП Ф-1  ПС 35 кВ Правобережная ТП 1-14</t>
  </si>
  <si>
    <t>ТП 1-14</t>
  </si>
  <si>
    <t xml:space="preserve"> ТП Ф-3  ПС 35 кВ Правобережная ТП 3-7</t>
  </si>
  <si>
    <t xml:space="preserve"> ТП Ф-4  ПС 35 кВ Озеро ТП 4-1</t>
  </si>
  <si>
    <t>ТП 4-1</t>
  </si>
  <si>
    <t xml:space="preserve"> ТП Ф-6  ПС 35 кВ Озеро ТП 6-1</t>
  </si>
  <si>
    <t>ТП 6-1</t>
  </si>
  <si>
    <t xml:space="preserve"> ТП Ф-3  ПС 110 кВ №84 ТП 3-14А</t>
  </si>
  <si>
    <t>ТП 3-14А</t>
  </si>
  <si>
    <t xml:space="preserve"> ТП Ф-3  ПС 110 кВ №84 ТП 3-1А</t>
  </si>
  <si>
    <t>ТП 3-1А</t>
  </si>
  <si>
    <t xml:space="preserve"> ТП Ф-5  ПС 110 ГРП-110 ТП 5-18А</t>
  </si>
  <si>
    <t>5-18А</t>
  </si>
  <si>
    <t xml:space="preserve"> ТП Ф-4  ПС 35 кВ Бердыкель  ТП 4-4А</t>
  </si>
  <si>
    <t>ТП 4-4А</t>
  </si>
  <si>
    <t xml:space="preserve"> ТП Ф-4  ПС 35 кВ Бердыкель  ТП 4-16А</t>
  </si>
  <si>
    <t>ТП 4-16А</t>
  </si>
  <si>
    <t xml:space="preserve"> ТП Ф-4  ПС 35 кВ Бердыкель  ТП 4-22А</t>
  </si>
  <si>
    <t>ТП 4-22А</t>
  </si>
  <si>
    <t xml:space="preserve"> ТП Ф-5  ПС 35 кВ Бердыкель  ТП 5-2А</t>
  </si>
  <si>
    <t>ТП 5-2А</t>
  </si>
  <si>
    <t xml:space="preserve"> ТП Ф-5  ПС 35 кВ Бердыкель  ТП 5-2Б</t>
  </si>
  <si>
    <t>ТП 5-2Б</t>
  </si>
  <si>
    <t xml:space="preserve"> ТП Ф-7  ПС 35 кВ Бердыкель  ТП 7-20А</t>
  </si>
  <si>
    <t>ТП 7-20А</t>
  </si>
  <si>
    <t xml:space="preserve"> ТП Ф-6  ПС 35 кВ Бердыкель  ТП 6-4А</t>
  </si>
  <si>
    <t>ТП 6-4А</t>
  </si>
  <si>
    <t xml:space="preserve"> ТП Ф-3  ПС 110 кВ Октябрьская  ТП 3-5А</t>
  </si>
  <si>
    <t>ТП 3-5А</t>
  </si>
  <si>
    <t xml:space="preserve"> ТП Ф-3  ПС 110 кВ Октябрьская  ТП 3-13А</t>
  </si>
  <si>
    <t>ТП 3-13А</t>
  </si>
  <si>
    <t xml:space="preserve"> ТП Ф-3  ПС 35 кВ Предгорная  ТП 3-7А</t>
  </si>
  <si>
    <t xml:space="preserve"> ТП 3-7А</t>
  </si>
  <si>
    <t>Строительство ТП Ф-3  ПС 35 кВ Предгорная  ТП 3-13А</t>
  </si>
  <si>
    <t xml:space="preserve"> ТП Ф-4  ПС 35 кВ Предгорная  ТП 4-5А</t>
  </si>
  <si>
    <t>ТП 4-5А</t>
  </si>
  <si>
    <t xml:space="preserve"> ТП Ф-5  ПС 35 кВ Предгорная  ТП 5-3А</t>
  </si>
  <si>
    <t>ТП 5-3А</t>
  </si>
  <si>
    <t xml:space="preserve"> ТП Ф-6  ПС 35 кВ Предгорная  ТП 6-5А</t>
  </si>
  <si>
    <t>ТП 6-5А</t>
  </si>
  <si>
    <t xml:space="preserve"> ТП Ф-6  ПС 35 кВ Предгорная  ТП 6-6А</t>
  </si>
  <si>
    <t>ТП 6-6А</t>
  </si>
  <si>
    <t xml:space="preserve"> ТП Ф-2  ПС 35 кВ Петропавловская ТП 2-5А</t>
  </si>
  <si>
    <t>ТП 2-5А</t>
  </si>
  <si>
    <t xml:space="preserve"> ТП Ф-8  ПС 35 кВ Толстой-Юрт ТП 8-14А</t>
  </si>
  <si>
    <t>ТП 8-14А</t>
  </si>
  <si>
    <t xml:space="preserve"> ТП Ф-1  ПС 35 кВ Правобережная ТП 1-15А</t>
  </si>
  <si>
    <t xml:space="preserve"> ТП 1-15А</t>
  </si>
  <si>
    <t xml:space="preserve"> ТП Ф-19  ПС 110 кВ ГРП-110 ТП 19-2А</t>
  </si>
  <si>
    <t>ТП 19-2А</t>
  </si>
  <si>
    <t>Прочее новое строительство объектов электросетевого хозяйства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</si>
  <si>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</si>
  <si>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</si>
  <si>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</si>
  <si>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Грозненский район</t>
  </si>
  <si>
    <t>местный</t>
  </si>
  <si>
    <t>+</t>
  </si>
  <si>
    <t>Показатель замены силовых (авто-) трансформаторов высшего класса напряжения 10 кв - 14,13 МВт. Показатель замены линий электропередачи высшего класса напряжения 0,4 кв - 252,81 км. Показатель объема финансовых потребностей, необходимых для реализации мероприятий, направленных на выполнение требований законодательства (фтз) - 409,17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</si>
  <si>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</si>
  <si>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</si>
  <si>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</si>
  <si>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Численное значение экономии от снижения потерь составит 9,54 млн.кВтч; экономия от снижения потерь и роста объема оказанных услуг составит 21,63 млн. руб.</t>
  </si>
  <si>
    <t>24,35 млн.руб./МВА. 1,36 млн.руб./км.</t>
  </si>
  <si>
    <t>14,13 МВА (14,13 МВА)  252,81 км (252,81 км)</t>
  </si>
  <si>
    <t>Итого за год (нарастающим итогом)</t>
  </si>
  <si>
    <t>за текущий квартал</t>
  </si>
  <si>
    <t>- прочие затраты по объекту, в т.ч.</t>
  </si>
  <si>
    <t>заработная плата производственного персонала</t>
  </si>
  <si>
    <t>проценты за пользование кредитными средствами</t>
  </si>
  <si>
    <t>строительный контроль</t>
  </si>
  <si>
    <t>Авторский надзор</t>
  </si>
  <si>
    <t>Факт 2023 года</t>
  </si>
  <si>
    <t xml:space="preserve">2024 год </t>
  </si>
  <si>
    <t xml:space="preserve"> по состоянию на 01.01.2023</t>
  </si>
  <si>
    <t>по состоянию на 01.01.2024</t>
  </si>
  <si>
    <t>Договор  от 06.10.2020 №  16-20-СМР-ЧЭ "под ключ"  (СМР, ПНР, в том числе поставка оборудования) заключен на общую сумму 638 821,675  тыс. руб. с НДС, объем затрат по Грозненским РЭС - 366 732,75 тыс. руб. с НДС. Факт выполнения составил 160 645 тыс. руб. с НДС,  в соответствии с протоколом совещания ПАО "Россети" от 23.11.2023 высвободившиеся средства перераспределены на титул L_Che369 (реконструкции сетей в Грозненских ГЭС)</t>
  </si>
  <si>
    <t>АО "ЦИУС ЕЭС"</t>
  </si>
  <si>
    <t>без использования функционала ЭТП</t>
  </si>
  <si>
    <t>Договор АО "ЦИУС ЕЭС" от 11.01.2021 № 01-21-СК-ЧЭ заключен с взаимозависимым лицом на основании решения СД ПАО "Россети" (протокол от 05.10.2018 № 324). Объем затрат на данному объекту составляет 3 373,55 тыс. руб. с НДС</t>
  </si>
  <si>
    <t>СР</t>
  </si>
  <si>
    <t>ЕИ</t>
  </si>
  <si>
    <t xml:space="preserve">ООО РСФ "МИР"    </t>
  </si>
  <si>
    <t xml:space="preserve">ООО РСФ "МИР" </t>
  </si>
  <si>
    <t>5.7</t>
  </si>
  <si>
    <t>ЦЗО</t>
  </si>
  <si>
    <t>ПР 161220/20</t>
  </si>
  <si>
    <t>ООО РСФ "МИР" Договор а от 21.12.2020  №24-20-ЧЭ. Объем затрат по данному объекту составляет - 256,16 тыс. руб. с НДС</t>
  </si>
  <si>
    <t>Договор  от 17.08.2018 № 01-18-ПИР  заключен на общую сумму 143 939,50  тыс. руб. с НДС (в соответствии с доп. соглашением № 2 от 18.02.2019, изменение ставки НДС) , объем ПИР по ПСП  э/э  в сетях Грозненских РЭС -  14 660,0 тыс. руб. с НДС.
Дата исполнения договора - в соотетствтсии с доп. соглашением № 1 от 28.12.2018</t>
  </si>
  <si>
    <t>объем заключенного договора в ценах _2020_ года с НДС, млн. руб.</t>
  </si>
  <si>
    <t>объем заключенного договора в ценах _2021_ года с НДС, млн. руб.</t>
  </si>
  <si>
    <t>объем заключенного договора в ценах 2018 года с НДС, млн. руб.</t>
  </si>
  <si>
    <t>ООО РСФ "Мир"  №24-20-ЧЭ от 21.12.2020г. (объем затрат по данному объекту - 0,26 млн.руб. с НДС)</t>
  </si>
  <si>
    <t>АО ЦИУС ЕЭС</t>
  </si>
  <si>
    <t>АО ЦИУС ЕЭС Договор 01-21-СК-ЧЭ  от 11.01.2021 (объем затрат по данному объекту - 3,37 млн.руб. с НДС)</t>
  </si>
  <si>
    <t>ООО РСФ "Мир"  № 01-18-ПИР от 17.08.2018 (объем затрат по данному объекту - 14.66 млн руб. с НДС)</t>
  </si>
  <si>
    <r>
      <t>ООО "НИЙСО и К" № 16-20-СМР-ЧЭ от 06.10.2020 "под ключ"(объем затрат по данному объекту - 160,65</t>
    </r>
    <r>
      <rPr>
        <b/>
        <sz val="11"/>
        <color rgb="FFFF0000"/>
        <rFont val="Times New Roman"/>
        <family val="1"/>
        <charset val="204"/>
      </rPr>
      <t xml:space="preserve"> </t>
    </r>
    <r>
      <rPr>
        <b/>
        <sz val="11"/>
        <rFont val="Times New Roman"/>
        <family val="1"/>
        <charset val="204"/>
      </rPr>
      <t xml:space="preserve"> млн руб. с НДС)</t>
    </r>
  </si>
  <si>
    <t>10.11..2023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</si>
</sst>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_ ;\-#,##0\ "/>
    <numFmt numFmtId="166" formatCode="_-* #,##0.00\ _р_._-;\-* #,##0.00\ _р_._-;_-* &quot;-&quot;??\ _р_._-;_-@_-"/>
    <numFmt numFmtId="167" formatCode="0.0000"/>
    <numFmt numFmtId="168" formatCode="[$-419]mmmm\ yyyy;@"/>
    <numFmt numFmtId="169" formatCode="0.0%"/>
    <numFmt numFmtId="170" formatCode="0.000"/>
    <numFmt numFmtId="171" formatCode="0.00000"/>
  </numFmts>
  <fonts count="71"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1"/>
      <color theme="1"/>
      <name val="Times New Roman"/>
      <family val="1"/>
      <charset val="204"/>
    </font>
    <font>
      <b/>
      <sz val="11"/>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cellStyleXfs>
  <cellXfs count="366">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9" fontId="9" fillId="0" borderId="10" xfId="60"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9" fillId="0" borderId="0" xfId="42" applyFont="1" applyFill="1" applyAlignment="1">
      <alignment horizontal="left" vertical="center" wrapText="1"/>
    </xf>
    <xf numFmtId="0" fontId="35" fillId="0" borderId="10" xfId="42" applyNumberFormat="1" applyFont="1" applyFill="1" applyBorder="1" applyAlignment="1">
      <alignment horizontal="center" vertical="center" wrapText="1"/>
    </xf>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1" fontId="67" fillId="0" borderId="10" xfId="52" applyNumberFormat="1" applyFont="1" applyFill="1" applyBorder="1" applyAlignment="1">
      <alignment horizontal="center" vertical="center" wrapText="1"/>
    </xf>
    <xf numFmtId="9" fontId="33" fillId="0" borderId="10" xfId="60" applyFont="1" applyFill="1" applyBorder="1" applyAlignment="1">
      <alignment horizontal="justify" vertical="top" wrapText="1"/>
    </xf>
    <xf numFmtId="0" fontId="49" fillId="24" borderId="10" xfId="52"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4" fontId="33" fillId="24" borderId="10" xfId="52" applyNumberFormat="1" applyFont="1" applyFill="1" applyBorder="1" applyAlignment="1">
      <alignment horizontal="center" vertical="center" wrapText="1"/>
    </xf>
    <xf numFmtId="0" fontId="68" fillId="24" borderId="10" xfId="86"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4" fontId="67" fillId="0" borderId="10" xfId="52" applyNumberFormat="1" applyFont="1" applyFill="1" applyBorder="1" applyAlignment="1">
      <alignment horizontal="center" vertical="center" wrapText="1"/>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0" fontId="49" fillId="24" borderId="0" xfId="52" applyFont="1" applyFill="1" applyAlignment="1">
      <alignment horizontal="center" vertical="center" wrapText="1"/>
    </xf>
    <xf numFmtId="14" fontId="67" fillId="0" borderId="10" xfId="52" applyNumberFormat="1" applyFont="1" applyFill="1" applyBorder="1" applyAlignment="1">
      <alignment horizontal="center" vertical="center" wrapText="1"/>
    </xf>
    <xf numFmtId="14" fontId="55" fillId="0" borderId="10" xfId="52" applyNumberFormat="1" applyFont="1" applyFill="1" applyBorder="1" applyAlignment="1">
      <alignment horizontal="center" vertical="center" wrapText="1"/>
    </xf>
    <xf numFmtId="0" fontId="67" fillId="0" borderId="0" xfId="52" applyFont="1" applyFill="1" applyAlignment="1">
      <alignment vertical="center" wrapText="1"/>
    </xf>
    <xf numFmtId="0" fontId="5" fillId="0" borderId="14" xfId="53" applyFont="1" applyFill="1" applyBorder="1" applyAlignment="1">
      <alignment horizontal="center" vertical="top" wrapText="1"/>
    </xf>
    <xf numFmtId="0" fontId="9" fillId="0" borderId="10" xfId="41" applyFont="1" applyFill="1" applyBorder="1" applyAlignment="1">
      <alignment horizontal="center" vertical="top" wrapText="1"/>
    </xf>
    <xf numFmtId="0" fontId="60" fillId="0" borderId="10" xfId="0" applyFont="1" applyBorder="1"/>
    <xf numFmtId="0" fontId="60" fillId="0" borderId="10" xfId="0" applyFont="1" applyBorder="1" applyAlignment="1">
      <alignment horizontal="center" vertical="center"/>
    </xf>
    <xf numFmtId="0" fontId="60" fillId="24" borderId="10" xfId="0" applyFont="1" applyFill="1" applyBorder="1" applyAlignment="1">
      <alignment horizontal="center" vertical="center"/>
    </xf>
    <xf numFmtId="0" fontId="9" fillId="0" borderId="10" xfId="41" applyFont="1" applyFill="1" applyBorder="1" applyAlignment="1">
      <alignment horizontal="center"/>
    </xf>
    <xf numFmtId="0" fontId="9" fillId="0" borderId="10" xfId="41" applyFont="1" applyFill="1" applyBorder="1" applyAlignment="1">
      <alignment horizontal="left"/>
    </xf>
    <xf numFmtId="49" fontId="9" fillId="0" borderId="10" xfId="41" applyNumberFormat="1" applyFont="1" applyFill="1" applyBorder="1" applyAlignment="1">
      <alignment horizontal="center" vertical="top"/>
    </xf>
    <xf numFmtId="0" fontId="60" fillId="0" borderId="10" xfId="0" applyFont="1" applyFill="1" applyBorder="1"/>
    <xf numFmtId="0" fontId="33" fillId="0" borderId="10" xfId="42" applyFont="1" applyFill="1" applyBorder="1" applyAlignment="1">
      <alignment horizontal="justify" vertical="center" wrapText="1"/>
    </xf>
    <xf numFmtId="4" fontId="67" fillId="0" borderId="10" xfId="52" applyNumberFormat="1" applyFont="1" applyFill="1" applyBorder="1" applyAlignment="1">
      <alignment horizontal="center" vertical="center"/>
    </xf>
    <xf numFmtId="0" fontId="35" fillId="0" borderId="10" xfId="42" applyFont="1" applyFill="1" applyBorder="1" applyAlignment="1">
      <alignment horizontal="center" vertical="center" wrapText="1"/>
    </xf>
    <xf numFmtId="2" fontId="33" fillId="0" borderId="10" xfId="42" applyNumberFormat="1" applyFont="1" applyFill="1" applyBorder="1" applyAlignment="1">
      <alignment horizontal="justify" vertical="center" wrapText="1"/>
    </xf>
    <xf numFmtId="2" fontId="33" fillId="0" borderId="10" xfId="42" applyNumberFormat="1" applyFont="1" applyFill="1" applyBorder="1" applyAlignment="1">
      <alignment horizontal="left" vertical="center" wrapText="1"/>
    </xf>
    <xf numFmtId="0" fontId="33" fillId="0" borderId="10" xfId="42" applyFont="1" applyFill="1" applyBorder="1" applyAlignment="1">
      <alignment horizontal="left" vertical="center" wrapText="1"/>
    </xf>
    <xf numFmtId="0" fontId="49" fillId="0" borderId="10" xfId="52" applyFont="1" applyFill="1" applyBorder="1" applyAlignment="1">
      <alignment horizontal="center" vertical="center" wrapText="1"/>
    </xf>
    <xf numFmtId="0" fontId="49" fillId="0" borderId="10" xfId="52" applyFont="1" applyFill="1" applyBorder="1"/>
    <xf numFmtId="4" fontId="49" fillId="0" borderId="10" xfId="52" applyNumberFormat="1" applyFont="1" applyFill="1" applyBorder="1" applyAlignment="1">
      <alignment horizontal="center" vertical="center"/>
    </xf>
    <xf numFmtId="2" fontId="49" fillId="0" borderId="10" xfId="52" applyNumberFormat="1" applyFont="1" applyFill="1" applyBorder="1" applyAlignment="1">
      <alignment horizontal="center" vertical="center"/>
    </xf>
    <xf numFmtId="14" fontId="69" fillId="0" borderId="10" xfId="52" applyNumberFormat="1" applyFont="1" applyFill="1" applyBorder="1" applyAlignment="1">
      <alignment horizontal="center" vertical="center"/>
    </xf>
    <xf numFmtId="0" fontId="49" fillId="0" borderId="13" xfId="52" applyFont="1" applyFill="1" applyBorder="1" applyAlignment="1">
      <alignment horizontal="center" vertical="center" wrapText="1"/>
    </xf>
    <xf numFmtId="0" fontId="34" fillId="0" borderId="10" xfId="42" applyFont="1" applyFill="1" applyBorder="1" applyAlignment="1">
      <alignment horizontal="justify" vertical="center" wrapText="1"/>
    </xf>
    <xf numFmtId="169" fontId="33" fillId="0" borderId="10" xfId="42" applyNumberFormat="1" applyFont="1" applyFill="1" applyBorder="1" applyAlignment="1">
      <alignment horizontal="justify" vertical="top" wrapText="1"/>
    </xf>
    <xf numFmtId="0" fontId="35" fillId="0" borderId="14" xfId="42" applyFont="1" applyFill="1" applyBorder="1" applyAlignment="1">
      <alignment horizontal="center" vertical="center" wrapText="1"/>
    </xf>
    <xf numFmtId="0" fontId="49" fillId="0" borderId="10" xfId="52" applyFont="1" applyFill="1" applyBorder="1" applyAlignment="1">
      <alignment horizontal="center" vertical="center"/>
    </xf>
    <xf numFmtId="1" fontId="67" fillId="24" borderId="10" xfId="52" applyNumberFormat="1" applyFont="1" applyFill="1" applyBorder="1" applyAlignment="1">
      <alignment horizontal="justify" vertical="center" wrapText="1"/>
    </xf>
    <xf numFmtId="4" fontId="49" fillId="0" borderId="10" xfId="52" applyNumberFormat="1" applyFont="1" applyFill="1" applyBorder="1" applyAlignment="1">
      <alignment horizontal="center" vertical="center" wrapText="1"/>
    </xf>
    <xf numFmtId="1" fontId="38" fillId="24" borderId="10" xfId="52" applyNumberFormat="1" applyFont="1" applyFill="1" applyBorder="1" applyAlignment="1">
      <alignment horizontal="justify" vertical="center" wrapText="1"/>
    </xf>
    <xf numFmtId="1" fontId="67" fillId="0" borderId="10" xfId="52" applyNumberFormat="1" applyFont="1" applyFill="1" applyBorder="1" applyAlignment="1">
      <alignment horizontal="center" vertical="center"/>
    </xf>
    <xf numFmtId="0" fontId="49" fillId="0" borderId="10" xfId="52" applyFont="1" applyFill="1" applyBorder="1" applyAlignment="1">
      <alignment horizontal="justify" vertical="center" wrapText="1"/>
    </xf>
    <xf numFmtId="49" fontId="67"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2" fontId="9" fillId="0" borderId="31" xfId="42" applyNumberFormat="1" applyFont="1" applyFill="1" applyBorder="1" applyAlignment="1">
      <alignment horizontal="center" vertical="center" wrapText="1"/>
    </xf>
    <xf numFmtId="0" fontId="9" fillId="0" borderId="31" xfId="42" applyNumberFormat="1" applyFont="1" applyFill="1" applyBorder="1" applyAlignment="1">
      <alignment horizontal="center" vertical="top" wrapText="1"/>
    </xf>
    <xf numFmtId="9" fontId="9" fillId="0" borderId="31" xfId="60" applyFont="1" applyFill="1" applyBorder="1" applyAlignment="1">
      <alignment horizontal="center" vertical="center" wrapText="1"/>
    </xf>
    <xf numFmtId="0" fontId="9" fillId="0" borderId="31" xfId="42" applyFont="1" applyFill="1" applyBorder="1" applyAlignment="1">
      <alignment horizontal="center" vertical="center" wrapText="1"/>
    </xf>
    <xf numFmtId="1" fontId="9" fillId="0" borderId="31" xfId="42" applyNumberFormat="1" applyFont="1" applyFill="1" applyBorder="1" applyAlignment="1">
      <alignment horizontal="center" vertical="center" wrapText="1"/>
    </xf>
    <xf numFmtId="14" fontId="9" fillId="0"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xf>
    <xf numFmtId="9" fontId="9" fillId="0" borderId="31" xfId="60" applyFont="1" applyFill="1" applyBorder="1" applyAlignment="1">
      <alignment horizontal="center" vertical="center"/>
    </xf>
    <xf numFmtId="14" fontId="60" fillId="24" borderId="31" xfId="42" applyNumberFormat="1" applyFont="1" applyFill="1" applyBorder="1" applyAlignment="1">
      <alignment horizontal="center" vertical="center" wrapText="1"/>
    </xf>
    <xf numFmtId="14" fontId="60" fillId="24" borderId="31" xfId="42" applyNumberFormat="1" applyFont="1" applyFill="1" applyBorder="1" applyAlignment="1">
      <alignment horizontal="center" vertical="center"/>
    </xf>
    <xf numFmtId="170" fontId="9" fillId="0" borderId="10" xfId="42" applyNumberFormat="1" applyFont="1" applyFill="1" applyBorder="1" applyAlignment="1">
      <alignment horizontal="center" vertical="center" wrapText="1"/>
    </xf>
    <xf numFmtId="171" fontId="9" fillId="0" borderId="10" xfId="42" applyNumberFormat="1" applyFont="1" applyFill="1" applyBorder="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wrapText="1"/>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1"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4"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3" xfId="41" applyFont="1" applyFill="1" applyBorder="1" applyAlignment="1">
      <alignment horizontal="center" vertical="center" wrapText="1"/>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0" xfId="42" applyFont="1" applyFill="1" applyAlignment="1">
      <alignment horizontal="center"/>
    </xf>
    <xf numFmtId="0" fontId="11" fillId="0" borderId="0" xfId="53" applyFont="1" applyFill="1" applyAlignment="1">
      <alignment horizontal="center" vertical="center"/>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6" fillId="0" borderId="0" xfId="53" applyFont="1" applyFill="1" applyAlignment="1">
      <alignment horizontal="center" vertical="center"/>
    </xf>
    <xf numFmtId="2" fontId="33" fillId="24" borderId="10" xfId="52" applyNumberFormat="1" applyFont="1" applyFill="1" applyBorder="1" applyAlignment="1">
      <alignment horizontal="center" vertical="center" wrapText="1"/>
    </xf>
    <xf numFmtId="1" fontId="55" fillId="24" borderId="11" xfId="52" applyNumberFormat="1" applyFont="1" applyFill="1" applyBorder="1" applyAlignment="1">
      <alignment horizontal="center" vertical="center" wrapText="1"/>
    </xf>
    <xf numFmtId="1" fontId="55" fillId="24" borderId="19" xfId="52" applyNumberFormat="1" applyFont="1" applyFill="1" applyBorder="1" applyAlignment="1">
      <alignment horizontal="center" vertical="center" wrapText="1"/>
    </xf>
    <xf numFmtId="1" fontId="55" fillId="24" borderId="13" xfId="52" applyNumberFormat="1" applyFont="1" applyFill="1" applyBorder="1" applyAlignment="1">
      <alignment horizontal="center" vertical="center" wrapText="1"/>
    </xf>
    <xf numFmtId="1" fontId="67" fillId="0" borderId="14" xfId="52" applyNumberFormat="1" applyFont="1" applyFill="1" applyBorder="1" applyAlignment="1">
      <alignment horizontal="center" vertical="center" wrapText="1"/>
    </xf>
    <xf numFmtId="1" fontId="67" fillId="0" borderId="15" xfId="52" applyNumberFormat="1" applyFont="1" applyFill="1" applyBorder="1" applyAlignment="1">
      <alignment horizontal="center" vertical="center" wrapText="1"/>
    </xf>
    <xf numFmtId="1" fontId="67" fillId="0" borderId="12"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168" fontId="67" fillId="0" borderId="10" xfId="52" applyNumberFormat="1" applyFont="1" applyFill="1" applyBorder="1" applyAlignment="1">
      <alignment horizontal="center" vertical="center" wrapText="1"/>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45" fillId="0" borderId="14"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80" zoomScaleNormal="100" zoomScaleSheetLayoutView="80" workbookViewId="0">
      <selection activeCell="C50" sqref="C50"/>
    </sheetView>
  </sheetViews>
  <sheetFormatPr defaultColWidth="9.140625" defaultRowHeight="15" x14ac:dyDescent="0.25"/>
  <cols>
    <col min="1" max="1" width="6.140625" style="122" customWidth="1"/>
    <col min="2" max="2" width="53.5703125" style="122" customWidth="1"/>
    <col min="3" max="3" width="92.140625" style="122" customWidth="1"/>
    <col min="4" max="4" width="12" style="122" customWidth="1"/>
    <col min="5" max="5" width="14.42578125" style="122" customWidth="1"/>
    <col min="6" max="6" width="36.5703125" style="122" customWidth="1"/>
    <col min="7" max="7" width="20" style="122" customWidth="1"/>
    <col min="8" max="8" width="25.5703125" style="122" customWidth="1"/>
    <col min="9" max="9" width="16.42578125" style="122" customWidth="1"/>
    <col min="10" max="16384" width="9.140625" style="122"/>
  </cols>
  <sheetData>
    <row r="1" spans="1:22" s="77" customFormat="1" ht="18.75" customHeight="1" x14ac:dyDescent="0.2">
      <c r="A1" s="19"/>
      <c r="C1" s="16" t="s">
        <v>22</v>
      </c>
    </row>
    <row r="2" spans="1:22" s="77" customFormat="1" ht="18.75" customHeight="1" x14ac:dyDescent="0.3">
      <c r="A2" s="19"/>
      <c r="C2" s="14" t="s">
        <v>6</v>
      </c>
    </row>
    <row r="3" spans="1:22" s="77" customFormat="1" ht="18.75" x14ac:dyDescent="0.3">
      <c r="A3" s="13"/>
      <c r="C3" s="14" t="s">
        <v>21</v>
      </c>
    </row>
    <row r="4" spans="1:22" s="77" customFormat="1" ht="18.75" x14ac:dyDescent="0.3">
      <c r="A4" s="13"/>
      <c r="H4" s="14"/>
    </row>
    <row r="5" spans="1:22" s="77" customFormat="1" ht="15.75" x14ac:dyDescent="0.25">
      <c r="A5" s="236" t="str">
        <f>'[1]6.2. отчет'!$B$2</f>
        <v>Год раскрытия информации: 2025 год</v>
      </c>
      <c r="B5" s="236"/>
      <c r="C5" s="236"/>
      <c r="D5" s="12"/>
      <c r="E5" s="12"/>
      <c r="F5" s="12"/>
      <c r="G5" s="12"/>
      <c r="H5" s="12"/>
      <c r="I5" s="12"/>
      <c r="J5" s="12"/>
    </row>
    <row r="6" spans="1:22" s="77" customFormat="1" ht="18.75" x14ac:dyDescent="0.3">
      <c r="A6" s="13"/>
      <c r="H6" s="14"/>
    </row>
    <row r="7" spans="1:22" s="77" customFormat="1" ht="18.75" x14ac:dyDescent="0.2">
      <c r="A7" s="240" t="s">
        <v>5</v>
      </c>
      <c r="B7" s="240"/>
      <c r="C7" s="240"/>
      <c r="D7" s="17"/>
      <c r="E7" s="17"/>
      <c r="F7" s="17"/>
      <c r="G7" s="17"/>
      <c r="H7" s="17"/>
      <c r="I7" s="17"/>
      <c r="J7" s="17"/>
      <c r="K7" s="17"/>
      <c r="L7" s="17"/>
      <c r="M7" s="17"/>
      <c r="N7" s="17"/>
      <c r="O7" s="17"/>
      <c r="P7" s="17"/>
      <c r="Q7" s="17"/>
      <c r="R7" s="17"/>
      <c r="S7" s="17"/>
      <c r="T7" s="17"/>
      <c r="U7" s="17"/>
      <c r="V7" s="17"/>
    </row>
    <row r="8" spans="1:22" s="77" customFormat="1" ht="18.75" x14ac:dyDescent="0.2">
      <c r="A8" s="82"/>
      <c r="B8" s="82"/>
      <c r="C8" s="82"/>
      <c r="D8" s="82"/>
      <c r="E8" s="82"/>
      <c r="F8" s="82"/>
      <c r="G8" s="82"/>
      <c r="H8" s="82"/>
      <c r="I8" s="17"/>
      <c r="J8" s="17"/>
      <c r="K8" s="17"/>
      <c r="L8" s="17"/>
      <c r="M8" s="17"/>
      <c r="N8" s="17"/>
      <c r="O8" s="17"/>
      <c r="P8" s="17"/>
      <c r="Q8" s="17"/>
      <c r="R8" s="17"/>
      <c r="S8" s="17"/>
      <c r="T8" s="17"/>
      <c r="U8" s="17"/>
      <c r="V8" s="17"/>
    </row>
    <row r="9" spans="1:22" s="77" customFormat="1" ht="18.75" x14ac:dyDescent="0.2">
      <c r="A9" s="241" t="s">
        <v>264</v>
      </c>
      <c r="B9" s="241"/>
      <c r="C9" s="241"/>
      <c r="D9" s="18"/>
      <c r="E9" s="18"/>
      <c r="F9" s="18"/>
      <c r="G9" s="18"/>
      <c r="H9" s="18"/>
      <c r="I9" s="17"/>
      <c r="J9" s="17"/>
      <c r="K9" s="17"/>
      <c r="L9" s="17"/>
      <c r="M9" s="17"/>
      <c r="N9" s="17"/>
      <c r="O9" s="17"/>
      <c r="P9" s="17"/>
      <c r="Q9" s="17"/>
      <c r="R9" s="17"/>
      <c r="S9" s="17"/>
      <c r="T9" s="17"/>
      <c r="U9" s="17"/>
      <c r="V9" s="17"/>
    </row>
    <row r="10" spans="1:22" s="77" customFormat="1" ht="18.75" x14ac:dyDescent="0.2">
      <c r="A10" s="246" t="s">
        <v>4</v>
      </c>
      <c r="B10" s="246"/>
      <c r="C10" s="246"/>
      <c r="D10" s="15"/>
      <c r="E10" s="15"/>
      <c r="F10" s="15"/>
      <c r="G10" s="15"/>
      <c r="H10" s="15"/>
      <c r="I10" s="17"/>
      <c r="J10" s="17"/>
      <c r="K10" s="17"/>
      <c r="L10" s="17"/>
      <c r="M10" s="17"/>
      <c r="N10" s="17"/>
      <c r="O10" s="17"/>
      <c r="P10" s="17"/>
      <c r="Q10" s="17"/>
      <c r="R10" s="17"/>
      <c r="S10" s="17"/>
      <c r="T10" s="17"/>
      <c r="U10" s="17"/>
      <c r="V10" s="17"/>
    </row>
    <row r="11" spans="1:22" s="77" customFormat="1" ht="18.75" x14ac:dyDescent="0.2">
      <c r="A11" s="82"/>
      <c r="B11" s="82"/>
      <c r="C11" s="82"/>
      <c r="D11" s="82"/>
      <c r="E11" s="82"/>
      <c r="F11" s="82"/>
      <c r="G11" s="82"/>
      <c r="H11" s="82"/>
      <c r="I11" s="17"/>
      <c r="J11" s="17"/>
      <c r="K11" s="17"/>
      <c r="L11" s="17"/>
      <c r="M11" s="17"/>
      <c r="N11" s="17"/>
      <c r="O11" s="17"/>
      <c r="P11" s="17"/>
      <c r="Q11" s="17"/>
      <c r="R11" s="17"/>
      <c r="S11" s="17"/>
      <c r="T11" s="17"/>
      <c r="U11" s="17"/>
      <c r="V11" s="17"/>
    </row>
    <row r="12" spans="1:22" s="77" customFormat="1" ht="18.75" x14ac:dyDescent="0.2">
      <c r="A12" s="241" t="s">
        <v>484</v>
      </c>
      <c r="B12" s="241"/>
      <c r="C12" s="241"/>
      <c r="D12" s="18"/>
      <c r="E12" s="18"/>
      <c r="F12" s="18"/>
      <c r="G12" s="18"/>
      <c r="H12" s="18"/>
      <c r="I12" s="17"/>
      <c r="J12" s="17"/>
      <c r="K12" s="17"/>
      <c r="L12" s="17"/>
      <c r="M12" s="17"/>
      <c r="N12" s="17"/>
      <c r="O12" s="17"/>
      <c r="P12" s="17"/>
      <c r="Q12" s="17"/>
      <c r="R12" s="17"/>
      <c r="S12" s="17"/>
      <c r="T12" s="17"/>
      <c r="U12" s="17"/>
      <c r="V12" s="17"/>
    </row>
    <row r="13" spans="1:22" s="77" customFormat="1" ht="18.75" x14ac:dyDescent="0.2">
      <c r="A13" s="246" t="s">
        <v>3</v>
      </c>
      <c r="B13" s="246"/>
      <c r="C13" s="246"/>
      <c r="D13" s="15"/>
      <c r="E13" s="15"/>
      <c r="F13" s="15"/>
      <c r="G13" s="15"/>
      <c r="H13" s="15"/>
      <c r="I13" s="17"/>
      <c r="J13" s="17"/>
      <c r="K13" s="17"/>
      <c r="L13" s="17"/>
      <c r="M13" s="17"/>
      <c r="N13" s="17"/>
      <c r="O13" s="17"/>
      <c r="P13" s="17"/>
      <c r="Q13" s="17"/>
      <c r="R13" s="17"/>
      <c r="S13" s="17"/>
      <c r="T13" s="17"/>
      <c r="U13" s="17"/>
      <c r="V13" s="17"/>
    </row>
    <row r="14" spans="1:22" s="80"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47" t="str">
        <f>VLOOKUP(A12,'[1]6.2. отчет'!$A:$C,3,0)</f>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
      <c r="B15" s="241"/>
      <c r="C15" s="241"/>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37" t="s">
        <v>2</v>
      </c>
      <c r="B16" s="237"/>
      <c r="C16" s="237"/>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47"/>
      <c r="B17" s="147"/>
      <c r="C17" s="147"/>
      <c r="D17" s="78"/>
      <c r="E17" s="78"/>
      <c r="F17" s="78"/>
      <c r="G17" s="78"/>
      <c r="H17" s="78"/>
      <c r="I17" s="78"/>
      <c r="J17" s="78"/>
      <c r="K17" s="78"/>
      <c r="L17" s="78"/>
      <c r="M17" s="78"/>
      <c r="N17" s="78"/>
      <c r="O17" s="78"/>
      <c r="P17" s="78"/>
      <c r="Q17" s="78"/>
      <c r="R17" s="78"/>
      <c r="S17" s="78"/>
    </row>
    <row r="18" spans="1:22" s="25" customFormat="1" ht="15" customHeight="1" x14ac:dyDescent="0.2">
      <c r="A18" s="238" t="s">
        <v>257</v>
      </c>
      <c r="B18" s="239"/>
      <c r="C18" s="239"/>
      <c r="D18" s="113"/>
      <c r="E18" s="113"/>
      <c r="F18" s="113"/>
      <c r="G18" s="113"/>
      <c r="H18" s="113"/>
      <c r="I18" s="113"/>
      <c r="J18" s="113"/>
      <c r="K18" s="113"/>
      <c r="L18" s="113"/>
      <c r="M18" s="113"/>
      <c r="N18" s="113"/>
      <c r="O18" s="113"/>
      <c r="P18" s="113"/>
      <c r="Q18" s="113"/>
      <c r="R18" s="113"/>
      <c r="S18" s="113"/>
      <c r="T18" s="113"/>
      <c r="U18" s="113"/>
      <c r="V18" s="113"/>
    </row>
    <row r="19" spans="1:22" s="25" customFormat="1" ht="15" customHeight="1" x14ac:dyDescent="0.2">
      <c r="A19" s="148"/>
      <c r="B19" s="148"/>
      <c r="C19" s="148"/>
      <c r="D19" s="15"/>
      <c r="E19" s="15"/>
      <c r="F19" s="15"/>
      <c r="G19" s="15"/>
      <c r="H19" s="15"/>
      <c r="I19" s="78"/>
      <c r="J19" s="78"/>
      <c r="K19" s="78"/>
      <c r="L19" s="78"/>
      <c r="M19" s="78"/>
      <c r="N19" s="78"/>
      <c r="O19" s="78"/>
      <c r="P19" s="78"/>
      <c r="Q19" s="78"/>
      <c r="R19" s="78"/>
      <c r="S19" s="78"/>
    </row>
    <row r="20" spans="1:22" s="25" customFormat="1" ht="39.75" customHeight="1" x14ac:dyDescent="0.2">
      <c r="A20" s="137" t="s">
        <v>1</v>
      </c>
      <c r="B20" s="149" t="s">
        <v>20</v>
      </c>
      <c r="C20" s="150" t="s">
        <v>19</v>
      </c>
      <c r="D20" s="131"/>
      <c r="E20" s="131"/>
      <c r="F20" s="131"/>
      <c r="G20" s="131"/>
      <c r="H20" s="131"/>
      <c r="I20" s="1"/>
      <c r="J20" s="1"/>
      <c r="K20" s="1"/>
      <c r="L20" s="1"/>
      <c r="M20" s="1"/>
      <c r="N20" s="1"/>
      <c r="O20" s="1"/>
      <c r="P20" s="1"/>
      <c r="Q20" s="1"/>
      <c r="R20" s="1"/>
      <c r="S20" s="1"/>
      <c r="T20" s="117"/>
      <c r="U20" s="117"/>
      <c r="V20" s="117"/>
    </row>
    <row r="21" spans="1:22" s="25" customFormat="1" ht="16.5" customHeight="1" x14ac:dyDescent="0.2">
      <c r="A21" s="150">
        <v>1</v>
      </c>
      <c r="B21" s="149">
        <v>2</v>
      </c>
      <c r="C21" s="150">
        <v>3</v>
      </c>
      <c r="D21" s="131"/>
      <c r="E21" s="131"/>
      <c r="F21" s="131"/>
      <c r="G21" s="131"/>
      <c r="H21" s="131"/>
      <c r="I21" s="1"/>
      <c r="J21" s="1"/>
      <c r="K21" s="1"/>
      <c r="L21" s="1"/>
      <c r="M21" s="1"/>
      <c r="N21" s="1"/>
      <c r="O21" s="1"/>
      <c r="P21" s="1"/>
      <c r="Q21" s="1"/>
      <c r="R21" s="1"/>
      <c r="S21" s="1"/>
      <c r="T21" s="117"/>
      <c r="U21" s="117"/>
      <c r="V21" s="117"/>
    </row>
    <row r="22" spans="1:22" s="25" customFormat="1" ht="39" customHeight="1" x14ac:dyDescent="0.2">
      <c r="A22" s="70" t="s">
        <v>18</v>
      </c>
      <c r="B22" s="151" t="s">
        <v>146</v>
      </c>
      <c r="C22" s="72" t="s">
        <v>747</v>
      </c>
      <c r="D22" s="131"/>
      <c r="E22" s="131"/>
      <c r="F22" s="131"/>
      <c r="G22" s="131"/>
      <c r="H22" s="131"/>
      <c r="I22" s="1"/>
      <c r="J22" s="1"/>
      <c r="K22" s="1"/>
      <c r="L22" s="1"/>
      <c r="M22" s="1"/>
      <c r="N22" s="1"/>
      <c r="O22" s="1"/>
      <c r="P22" s="1"/>
      <c r="Q22" s="1"/>
      <c r="R22" s="1"/>
      <c r="S22" s="1"/>
      <c r="T22" s="117"/>
      <c r="U22" s="117"/>
      <c r="V22" s="117"/>
    </row>
    <row r="23" spans="1:22" s="25" customFormat="1" ht="78.75" x14ac:dyDescent="0.2">
      <c r="A23" s="70" t="s">
        <v>17</v>
      </c>
      <c r="B23" s="71" t="s">
        <v>453</v>
      </c>
      <c r="C23" s="72" t="s">
        <v>748</v>
      </c>
      <c r="D23" s="131"/>
      <c r="E23" s="131"/>
      <c r="F23" s="131"/>
      <c r="G23" s="131"/>
      <c r="H23" s="131"/>
      <c r="I23" s="1"/>
      <c r="J23" s="1"/>
      <c r="K23" s="1"/>
      <c r="L23" s="1"/>
      <c r="M23" s="1"/>
      <c r="N23" s="1"/>
      <c r="O23" s="1"/>
      <c r="P23" s="1"/>
      <c r="Q23" s="1"/>
      <c r="R23" s="1"/>
      <c r="S23" s="1"/>
      <c r="T23" s="117"/>
      <c r="U23" s="117"/>
      <c r="V23" s="117"/>
    </row>
    <row r="24" spans="1:22" s="25" customFormat="1" ht="22.5" customHeight="1" x14ac:dyDescent="0.2">
      <c r="A24" s="243"/>
      <c r="B24" s="244"/>
      <c r="C24" s="245"/>
      <c r="D24" s="131"/>
      <c r="E24" s="131"/>
      <c r="F24" s="131"/>
      <c r="G24" s="131"/>
      <c r="H24" s="131"/>
      <c r="I24" s="1"/>
      <c r="J24" s="1"/>
      <c r="K24" s="1"/>
      <c r="L24" s="1"/>
      <c r="M24" s="1"/>
      <c r="N24" s="1"/>
      <c r="O24" s="1"/>
      <c r="P24" s="1"/>
      <c r="Q24" s="1"/>
      <c r="R24" s="1"/>
      <c r="S24" s="1"/>
      <c r="T24" s="117"/>
      <c r="U24" s="117"/>
      <c r="V24" s="117"/>
    </row>
    <row r="25" spans="1:22" s="25" customFormat="1" ht="58.5" customHeight="1" x14ac:dyDescent="0.2">
      <c r="A25" s="70" t="s">
        <v>16</v>
      </c>
      <c r="B25" s="72" t="s">
        <v>223</v>
      </c>
      <c r="C25" s="137" t="s">
        <v>749</v>
      </c>
      <c r="D25" s="131"/>
      <c r="E25" s="131"/>
      <c r="F25" s="131"/>
      <c r="G25" s="131"/>
      <c r="H25" s="1"/>
      <c r="I25" s="1"/>
      <c r="J25" s="1"/>
      <c r="K25" s="1"/>
      <c r="L25" s="1"/>
      <c r="M25" s="1"/>
      <c r="N25" s="1"/>
      <c r="O25" s="1"/>
      <c r="P25" s="1"/>
      <c r="Q25" s="1"/>
      <c r="R25" s="1"/>
      <c r="S25" s="117"/>
      <c r="T25" s="117"/>
      <c r="U25" s="117"/>
      <c r="V25" s="117"/>
    </row>
    <row r="26" spans="1:22" s="25" customFormat="1" ht="42.75" customHeight="1" x14ac:dyDescent="0.2">
      <c r="A26" s="70" t="s">
        <v>15</v>
      </c>
      <c r="B26" s="72" t="s">
        <v>28</v>
      </c>
      <c r="C26" s="137" t="s">
        <v>750</v>
      </c>
      <c r="D26" s="131"/>
      <c r="E26" s="131"/>
      <c r="F26" s="131"/>
      <c r="G26" s="131"/>
      <c r="H26" s="1"/>
      <c r="I26" s="1"/>
      <c r="J26" s="1"/>
      <c r="K26" s="1"/>
      <c r="L26" s="1"/>
      <c r="M26" s="1"/>
      <c r="N26" s="1"/>
      <c r="O26" s="1"/>
      <c r="P26" s="1"/>
      <c r="Q26" s="1"/>
      <c r="R26" s="1"/>
      <c r="S26" s="117"/>
      <c r="T26" s="117"/>
      <c r="U26" s="117"/>
      <c r="V26" s="117"/>
    </row>
    <row r="27" spans="1:22" s="25" customFormat="1" ht="47.25" x14ac:dyDescent="0.2">
      <c r="A27" s="70" t="s">
        <v>13</v>
      </c>
      <c r="B27" s="72" t="s">
        <v>27</v>
      </c>
      <c r="C27" s="137" t="s">
        <v>751</v>
      </c>
      <c r="D27" s="131"/>
      <c r="E27" s="131"/>
      <c r="F27" s="131"/>
      <c r="G27" s="131"/>
      <c r="H27" s="1"/>
      <c r="I27" s="1"/>
      <c r="J27" s="1"/>
      <c r="K27" s="1"/>
      <c r="L27" s="1"/>
      <c r="M27" s="1"/>
      <c r="N27" s="1"/>
      <c r="O27" s="1"/>
      <c r="P27" s="1"/>
      <c r="Q27" s="1"/>
      <c r="R27" s="1"/>
      <c r="S27" s="117"/>
      <c r="T27" s="117"/>
      <c r="U27" s="117"/>
      <c r="V27" s="117"/>
    </row>
    <row r="28" spans="1:22" s="25" customFormat="1" ht="42.75" customHeight="1" x14ac:dyDescent="0.2">
      <c r="A28" s="70" t="s">
        <v>12</v>
      </c>
      <c r="B28" s="72" t="s">
        <v>224</v>
      </c>
      <c r="C28" s="137" t="s">
        <v>265</v>
      </c>
      <c r="D28" s="131"/>
      <c r="E28" s="131"/>
      <c r="F28" s="131"/>
      <c r="G28" s="131"/>
      <c r="H28" s="1"/>
      <c r="I28" s="1"/>
      <c r="J28" s="1"/>
      <c r="K28" s="1"/>
      <c r="L28" s="1"/>
      <c r="M28" s="1"/>
      <c r="N28" s="1"/>
      <c r="O28" s="1"/>
      <c r="P28" s="1"/>
      <c r="Q28" s="1"/>
      <c r="R28" s="1"/>
      <c r="S28" s="117"/>
      <c r="T28" s="117"/>
      <c r="U28" s="117"/>
      <c r="V28" s="117"/>
    </row>
    <row r="29" spans="1:22" s="25" customFormat="1" ht="51.75" customHeight="1" x14ac:dyDescent="0.2">
      <c r="A29" s="70" t="s">
        <v>10</v>
      </c>
      <c r="B29" s="72" t="s">
        <v>225</v>
      </c>
      <c r="C29" s="137" t="s">
        <v>265</v>
      </c>
      <c r="D29" s="131"/>
      <c r="E29" s="131"/>
      <c r="F29" s="131"/>
      <c r="G29" s="131"/>
      <c r="H29" s="1"/>
      <c r="I29" s="1"/>
      <c r="J29" s="1"/>
      <c r="K29" s="1"/>
      <c r="L29" s="1"/>
      <c r="M29" s="1"/>
      <c r="N29" s="1"/>
      <c r="O29" s="1"/>
      <c r="P29" s="1"/>
      <c r="Q29" s="1"/>
      <c r="R29" s="1"/>
      <c r="S29" s="117"/>
      <c r="T29" s="117"/>
      <c r="U29" s="117"/>
      <c r="V29" s="117"/>
    </row>
    <row r="30" spans="1:22" s="25" customFormat="1" ht="51.75" customHeight="1" x14ac:dyDescent="0.2">
      <c r="A30" s="70" t="s">
        <v>8</v>
      </c>
      <c r="B30" s="72" t="s">
        <v>226</v>
      </c>
      <c r="C30" s="137" t="s">
        <v>265</v>
      </c>
      <c r="D30" s="131"/>
      <c r="E30" s="131"/>
      <c r="F30" s="131"/>
      <c r="G30" s="131"/>
      <c r="H30" s="1"/>
      <c r="I30" s="1"/>
      <c r="J30" s="1"/>
      <c r="K30" s="1"/>
      <c r="L30" s="1"/>
      <c r="M30" s="1"/>
      <c r="N30" s="1"/>
      <c r="O30" s="1"/>
      <c r="P30" s="1"/>
      <c r="Q30" s="1"/>
      <c r="R30" s="1"/>
      <c r="S30" s="117"/>
      <c r="T30" s="117"/>
      <c r="U30" s="117"/>
      <c r="V30" s="117"/>
    </row>
    <row r="31" spans="1:22" s="25" customFormat="1" ht="51.75" customHeight="1" x14ac:dyDescent="0.2">
      <c r="A31" s="70" t="s">
        <v>26</v>
      </c>
      <c r="B31" s="72" t="s">
        <v>227</v>
      </c>
      <c r="C31" s="137" t="s">
        <v>265</v>
      </c>
      <c r="D31" s="131"/>
      <c r="E31" s="131"/>
      <c r="F31" s="131"/>
      <c r="G31" s="131"/>
      <c r="H31" s="1"/>
      <c r="I31" s="1"/>
      <c r="J31" s="1"/>
      <c r="K31" s="1"/>
      <c r="L31" s="1"/>
      <c r="M31" s="1"/>
      <c r="N31" s="1"/>
      <c r="O31" s="1"/>
      <c r="P31" s="1"/>
      <c r="Q31" s="1"/>
      <c r="R31" s="1"/>
      <c r="S31" s="117"/>
      <c r="T31" s="117"/>
      <c r="U31" s="117"/>
      <c r="V31" s="117"/>
    </row>
    <row r="32" spans="1:22" s="25" customFormat="1" ht="51.75" customHeight="1" x14ac:dyDescent="0.2">
      <c r="A32" s="70" t="s">
        <v>24</v>
      </c>
      <c r="B32" s="72" t="s">
        <v>228</v>
      </c>
      <c r="C32" s="137" t="s">
        <v>265</v>
      </c>
      <c r="D32" s="131"/>
      <c r="E32" s="131"/>
      <c r="F32" s="131"/>
      <c r="G32" s="131"/>
      <c r="H32" s="1"/>
      <c r="I32" s="1"/>
      <c r="J32" s="1"/>
      <c r="K32" s="1"/>
      <c r="L32" s="1"/>
      <c r="M32" s="1"/>
      <c r="N32" s="1"/>
      <c r="O32" s="1"/>
      <c r="P32" s="1"/>
      <c r="Q32" s="1"/>
      <c r="R32" s="1"/>
      <c r="S32" s="117"/>
      <c r="T32" s="117"/>
      <c r="U32" s="117"/>
      <c r="V32" s="117"/>
    </row>
    <row r="33" spans="1:22" s="25" customFormat="1" ht="101.25" customHeight="1" x14ac:dyDescent="0.2">
      <c r="A33" s="70" t="s">
        <v>23</v>
      </c>
      <c r="B33" s="72" t="s">
        <v>229</v>
      </c>
      <c r="C33" s="137" t="s">
        <v>752</v>
      </c>
      <c r="D33" s="131"/>
      <c r="E33" s="131"/>
      <c r="F33" s="131"/>
      <c r="G33" s="131"/>
      <c r="H33" s="1"/>
      <c r="I33" s="1"/>
      <c r="J33" s="1"/>
      <c r="K33" s="1"/>
      <c r="L33" s="1"/>
      <c r="M33" s="1"/>
      <c r="N33" s="1"/>
      <c r="O33" s="1"/>
      <c r="P33" s="1"/>
      <c r="Q33" s="1"/>
      <c r="R33" s="1"/>
      <c r="S33" s="117"/>
      <c r="T33" s="117"/>
      <c r="U33" s="117"/>
      <c r="V33" s="117"/>
    </row>
    <row r="34" spans="1:22" ht="94.5" x14ac:dyDescent="0.25">
      <c r="A34" s="70" t="s">
        <v>237</v>
      </c>
      <c r="B34" s="72" t="s">
        <v>230</v>
      </c>
      <c r="C34" s="137" t="s">
        <v>452</v>
      </c>
      <c r="D34" s="121"/>
      <c r="E34" s="121"/>
      <c r="F34" s="121"/>
      <c r="G34" s="121"/>
      <c r="H34" s="121"/>
      <c r="I34" s="121"/>
      <c r="J34" s="121"/>
      <c r="K34" s="121"/>
      <c r="L34" s="121"/>
      <c r="M34" s="121"/>
      <c r="N34" s="121"/>
      <c r="O34" s="121"/>
      <c r="P34" s="121"/>
      <c r="Q34" s="121"/>
      <c r="R34" s="121"/>
      <c r="S34" s="121"/>
      <c r="T34" s="121"/>
      <c r="U34" s="121"/>
      <c r="V34" s="121"/>
    </row>
    <row r="35" spans="1:22" ht="47.25" x14ac:dyDescent="0.25">
      <c r="A35" s="70" t="s">
        <v>233</v>
      </c>
      <c r="B35" s="72" t="s">
        <v>25</v>
      </c>
      <c r="C35" s="137" t="s">
        <v>265</v>
      </c>
      <c r="D35" s="121"/>
      <c r="E35" s="121"/>
      <c r="F35" s="121"/>
      <c r="G35" s="121"/>
      <c r="H35" s="121"/>
      <c r="I35" s="121"/>
      <c r="J35" s="121"/>
      <c r="K35" s="121"/>
      <c r="L35" s="121"/>
      <c r="M35" s="121"/>
      <c r="N35" s="121"/>
      <c r="O35" s="121"/>
      <c r="P35" s="121"/>
      <c r="Q35" s="121"/>
      <c r="R35" s="121"/>
      <c r="S35" s="121"/>
      <c r="T35" s="121"/>
      <c r="U35" s="121"/>
      <c r="V35" s="121"/>
    </row>
    <row r="36" spans="1:22" ht="31.5" x14ac:dyDescent="0.25">
      <c r="A36" s="70" t="s">
        <v>238</v>
      </c>
      <c r="B36" s="72" t="s">
        <v>231</v>
      </c>
      <c r="C36" s="137" t="s">
        <v>753</v>
      </c>
      <c r="D36" s="121"/>
      <c r="E36" s="121"/>
      <c r="F36" s="121"/>
      <c r="G36" s="121"/>
      <c r="H36" s="121"/>
      <c r="I36" s="121"/>
      <c r="J36" s="121"/>
      <c r="K36" s="121"/>
      <c r="L36" s="121"/>
      <c r="M36" s="121"/>
      <c r="N36" s="121"/>
      <c r="O36" s="121"/>
      <c r="P36" s="121"/>
      <c r="Q36" s="121"/>
      <c r="R36" s="121"/>
      <c r="S36" s="121"/>
      <c r="T36" s="121"/>
      <c r="U36" s="121"/>
      <c r="V36" s="121"/>
    </row>
    <row r="37" spans="1:22" ht="15.75" x14ac:dyDescent="0.25">
      <c r="A37" s="70" t="s">
        <v>234</v>
      </c>
      <c r="B37" s="72" t="s">
        <v>232</v>
      </c>
      <c r="C37" s="137" t="s">
        <v>753</v>
      </c>
      <c r="D37" s="121"/>
      <c r="E37" s="121"/>
      <c r="F37" s="121"/>
      <c r="G37" s="121"/>
      <c r="H37" s="121"/>
      <c r="I37" s="121"/>
      <c r="J37" s="121"/>
      <c r="K37" s="121"/>
      <c r="L37" s="121"/>
      <c r="M37" s="121"/>
      <c r="N37" s="121"/>
      <c r="O37" s="121"/>
      <c r="P37" s="121"/>
      <c r="Q37" s="121"/>
      <c r="R37" s="121"/>
      <c r="S37" s="121"/>
      <c r="T37" s="121"/>
      <c r="U37" s="121"/>
      <c r="V37" s="121"/>
    </row>
    <row r="38" spans="1:22" ht="15.75" x14ac:dyDescent="0.25">
      <c r="A38" s="70" t="s">
        <v>239</v>
      </c>
      <c r="B38" s="72" t="s">
        <v>143</v>
      </c>
      <c r="C38" s="137" t="s">
        <v>265</v>
      </c>
      <c r="D38" s="121"/>
      <c r="E38" s="121"/>
      <c r="F38" s="121"/>
      <c r="G38" s="121"/>
      <c r="H38" s="121"/>
      <c r="I38" s="121"/>
      <c r="J38" s="121"/>
      <c r="K38" s="121"/>
      <c r="L38" s="121"/>
      <c r="M38" s="121"/>
      <c r="N38" s="121"/>
      <c r="O38" s="121"/>
      <c r="P38" s="121"/>
      <c r="Q38" s="121"/>
      <c r="R38" s="121"/>
      <c r="S38" s="121"/>
      <c r="T38" s="121"/>
      <c r="U38" s="121"/>
      <c r="V38" s="121"/>
    </row>
    <row r="39" spans="1:22" ht="15.75" x14ac:dyDescent="0.25">
      <c r="A39" s="243"/>
      <c r="B39" s="244"/>
      <c r="C39" s="245"/>
      <c r="D39" s="121"/>
      <c r="E39" s="121"/>
      <c r="F39" s="121"/>
      <c r="G39" s="121"/>
      <c r="H39" s="121"/>
      <c r="I39" s="121"/>
      <c r="J39" s="121"/>
      <c r="K39" s="121"/>
      <c r="L39" s="121"/>
      <c r="M39" s="121"/>
      <c r="N39" s="121"/>
      <c r="O39" s="121"/>
      <c r="P39" s="121"/>
      <c r="Q39" s="121"/>
      <c r="R39" s="121"/>
      <c r="S39" s="121"/>
      <c r="T39" s="121"/>
      <c r="U39" s="121"/>
      <c r="V39" s="121"/>
    </row>
    <row r="40" spans="1:22" ht="78.75" x14ac:dyDescent="0.25">
      <c r="A40" s="70" t="s">
        <v>235</v>
      </c>
      <c r="B40" s="72" t="s">
        <v>448</v>
      </c>
      <c r="C40" s="137" t="s">
        <v>754</v>
      </c>
      <c r="D40" s="242"/>
      <c r="E40" s="121"/>
      <c r="F40" s="121"/>
      <c r="G40" s="121"/>
      <c r="H40" s="121"/>
      <c r="I40" s="121"/>
      <c r="J40" s="121"/>
      <c r="K40" s="121"/>
      <c r="L40" s="121"/>
      <c r="M40" s="121"/>
      <c r="N40" s="121"/>
      <c r="O40" s="121"/>
      <c r="P40" s="121"/>
      <c r="Q40" s="121"/>
      <c r="R40" s="121"/>
      <c r="S40" s="121"/>
      <c r="T40" s="121"/>
      <c r="U40" s="121"/>
      <c r="V40" s="121"/>
    </row>
    <row r="41" spans="1:22" ht="94.5" x14ac:dyDescent="0.25">
      <c r="A41" s="73" t="s">
        <v>240</v>
      </c>
      <c r="B41" s="11" t="s">
        <v>438</v>
      </c>
      <c r="C41" s="137" t="s">
        <v>265</v>
      </c>
      <c r="D41" s="242"/>
      <c r="E41" s="121"/>
      <c r="F41" s="121"/>
      <c r="G41" s="121"/>
      <c r="H41" s="121"/>
      <c r="I41" s="121"/>
      <c r="J41" s="121"/>
      <c r="K41" s="121"/>
      <c r="L41" s="121"/>
      <c r="M41" s="121"/>
      <c r="N41" s="121"/>
      <c r="O41" s="121"/>
      <c r="P41" s="121"/>
      <c r="Q41" s="121"/>
      <c r="R41" s="121"/>
      <c r="S41" s="121"/>
      <c r="T41" s="121"/>
      <c r="U41" s="121"/>
      <c r="V41" s="121"/>
    </row>
    <row r="42" spans="1:22" ht="201" customHeight="1" x14ac:dyDescent="0.25">
      <c r="A42" s="73" t="s">
        <v>236</v>
      </c>
      <c r="B42" s="11" t="s">
        <v>439</v>
      </c>
      <c r="C42" s="137" t="s">
        <v>755</v>
      </c>
      <c r="D42" s="242"/>
      <c r="E42" s="121"/>
      <c r="F42" s="121"/>
      <c r="G42" s="121"/>
      <c r="H42" s="121"/>
      <c r="I42" s="121"/>
      <c r="J42" s="121"/>
      <c r="K42" s="121"/>
      <c r="L42" s="121"/>
      <c r="M42" s="121"/>
      <c r="N42" s="121"/>
      <c r="O42" s="121"/>
      <c r="P42" s="121"/>
      <c r="Q42" s="121"/>
      <c r="R42" s="121"/>
      <c r="S42" s="121"/>
      <c r="T42" s="121"/>
      <c r="U42" s="121"/>
      <c r="V42" s="121"/>
    </row>
    <row r="43" spans="1:22" ht="173.25" x14ac:dyDescent="0.25">
      <c r="A43" s="73" t="s">
        <v>266</v>
      </c>
      <c r="B43" s="11" t="s">
        <v>440</v>
      </c>
      <c r="C43" s="137" t="s">
        <v>265</v>
      </c>
      <c r="D43" s="242"/>
      <c r="E43" s="121"/>
      <c r="F43" s="121"/>
      <c r="G43" s="121"/>
      <c r="H43" s="121"/>
      <c r="I43" s="121"/>
      <c r="J43" s="121"/>
      <c r="K43" s="121"/>
      <c r="L43" s="121"/>
      <c r="M43" s="121"/>
      <c r="N43" s="121"/>
      <c r="O43" s="121"/>
      <c r="P43" s="121"/>
      <c r="Q43" s="121"/>
      <c r="R43" s="121"/>
      <c r="S43" s="121"/>
      <c r="T43" s="121"/>
      <c r="U43" s="121"/>
      <c r="V43" s="121"/>
    </row>
    <row r="44" spans="1:22" ht="101.25" customHeight="1" x14ac:dyDescent="0.25">
      <c r="A44" s="73" t="s">
        <v>274</v>
      </c>
      <c r="B44" s="11" t="s">
        <v>441</v>
      </c>
      <c r="C44" s="137" t="s">
        <v>265</v>
      </c>
      <c r="D44" s="242"/>
      <c r="E44" s="121"/>
      <c r="F44" s="121"/>
      <c r="G44" s="121"/>
      <c r="H44" s="121"/>
      <c r="I44" s="121"/>
      <c r="J44" s="121"/>
      <c r="K44" s="121"/>
      <c r="L44" s="121"/>
      <c r="M44" s="121"/>
      <c r="N44" s="121"/>
      <c r="O44" s="121"/>
      <c r="P44" s="121"/>
      <c r="Q44" s="121"/>
      <c r="R44" s="121"/>
      <c r="S44" s="121"/>
      <c r="T44" s="121"/>
      <c r="U44" s="121"/>
      <c r="V44" s="121"/>
    </row>
    <row r="45" spans="1:22" ht="78.75" x14ac:dyDescent="0.25">
      <c r="A45" s="73" t="s">
        <v>442</v>
      </c>
      <c r="B45" s="11" t="s">
        <v>443</v>
      </c>
      <c r="C45" s="137" t="s">
        <v>265</v>
      </c>
      <c r="D45" s="242"/>
      <c r="E45" s="121"/>
      <c r="F45" s="121"/>
      <c r="G45" s="121"/>
      <c r="H45" s="121"/>
      <c r="I45" s="121"/>
      <c r="J45" s="121"/>
      <c r="K45" s="121"/>
      <c r="L45" s="121"/>
      <c r="M45" s="121"/>
      <c r="N45" s="121"/>
      <c r="O45" s="121"/>
      <c r="P45" s="121"/>
      <c r="Q45" s="121"/>
      <c r="R45" s="121"/>
      <c r="S45" s="121"/>
      <c r="T45" s="121"/>
      <c r="U45" s="121"/>
      <c r="V45" s="121"/>
    </row>
    <row r="46" spans="1:22" ht="78.75" customHeight="1" x14ac:dyDescent="0.25">
      <c r="A46" s="73" t="s">
        <v>444</v>
      </c>
      <c r="B46" s="11" t="s">
        <v>258</v>
      </c>
      <c r="C46" s="137" t="s">
        <v>756</v>
      </c>
      <c r="D46" s="121"/>
      <c r="E46" s="121"/>
      <c r="F46" s="121"/>
      <c r="G46" s="121"/>
      <c r="H46" s="121"/>
      <c r="I46" s="121"/>
      <c r="J46" s="121"/>
      <c r="K46" s="121"/>
      <c r="L46" s="121"/>
      <c r="M46" s="121"/>
      <c r="N46" s="121"/>
      <c r="O46" s="121"/>
      <c r="P46" s="121"/>
      <c r="Q46" s="121"/>
      <c r="R46" s="121"/>
      <c r="S46" s="121"/>
      <c r="T46" s="121"/>
      <c r="U46" s="121"/>
      <c r="V46" s="121"/>
    </row>
    <row r="47" spans="1:22" ht="22.5" customHeight="1" x14ac:dyDescent="0.25">
      <c r="A47" s="73"/>
      <c r="B47" s="11"/>
      <c r="C47" s="74"/>
      <c r="D47" s="121"/>
      <c r="E47" s="121"/>
      <c r="F47" s="121"/>
      <c r="G47" s="121"/>
      <c r="H47" s="121"/>
      <c r="I47" s="121"/>
      <c r="J47" s="121"/>
      <c r="K47" s="121"/>
      <c r="L47" s="121"/>
      <c r="M47" s="121"/>
      <c r="N47" s="121"/>
      <c r="O47" s="121"/>
      <c r="P47" s="121"/>
      <c r="Q47" s="121"/>
      <c r="R47" s="121"/>
      <c r="S47" s="121"/>
      <c r="T47" s="121"/>
      <c r="U47" s="121"/>
      <c r="V47" s="121"/>
    </row>
    <row r="48" spans="1:22" ht="71.25" customHeight="1" x14ac:dyDescent="0.25">
      <c r="A48" s="73" t="s">
        <v>445</v>
      </c>
      <c r="B48" s="11" t="s">
        <v>261</v>
      </c>
      <c r="C48" s="152">
        <f>'6.2. Паспорт фин осв ввод'!C24</f>
        <v>188.67278637200002</v>
      </c>
      <c r="D48" s="121"/>
      <c r="E48" s="121"/>
      <c r="F48" s="121"/>
      <c r="G48" s="121"/>
      <c r="H48" s="121"/>
      <c r="I48" s="121"/>
      <c r="J48" s="121"/>
      <c r="K48" s="121"/>
      <c r="L48" s="121"/>
      <c r="M48" s="121"/>
      <c r="N48" s="121"/>
      <c r="O48" s="121"/>
      <c r="P48" s="121"/>
      <c r="Q48" s="121"/>
      <c r="R48" s="121"/>
      <c r="S48" s="121"/>
      <c r="T48" s="121"/>
      <c r="U48" s="121"/>
      <c r="V48" s="121"/>
    </row>
    <row r="49" spans="1:22" ht="72.75" customHeight="1" x14ac:dyDescent="0.25">
      <c r="A49" s="73" t="s">
        <v>446</v>
      </c>
      <c r="B49" s="11" t="s">
        <v>262</v>
      </c>
      <c r="C49" s="152">
        <f>'6.2. Паспорт фин осв ввод'!C30</f>
        <v>158.85003632999999</v>
      </c>
      <c r="D49" s="121"/>
      <c r="E49" s="121"/>
      <c r="F49" s="121"/>
      <c r="G49" s="121"/>
      <c r="H49" s="121"/>
      <c r="I49" s="121"/>
      <c r="J49" s="121"/>
      <c r="K49" s="121"/>
      <c r="L49" s="121"/>
      <c r="M49" s="121"/>
      <c r="N49" s="121"/>
      <c r="O49" s="121"/>
      <c r="P49" s="121"/>
      <c r="Q49" s="121"/>
      <c r="R49" s="121"/>
      <c r="S49" s="121"/>
      <c r="T49" s="121"/>
      <c r="U49" s="121"/>
      <c r="V49" s="121"/>
    </row>
    <row r="50" spans="1:22"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row>
    <row r="51" spans="1:22"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row>
    <row r="52" spans="1:22"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row>
    <row r="53" spans="1:22"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row>
    <row r="54" spans="1:22"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row>
    <row r="55" spans="1:22"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row>
    <row r="56" spans="1:22"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row>
    <row r="57" spans="1:22"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row>
    <row r="58" spans="1:22"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row>
    <row r="59" spans="1:22"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row>
    <row r="60" spans="1:22"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row>
    <row r="61" spans="1:22"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row>
    <row r="62" spans="1:22"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row>
    <row r="63" spans="1:22"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row>
    <row r="64" spans="1:22"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row>
    <row r="65" spans="1:22"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row>
    <row r="66" spans="1:22"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row>
    <row r="67" spans="1:22"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row>
    <row r="68" spans="1:22"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row>
    <row r="69" spans="1:22"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row>
    <row r="70" spans="1:22"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row>
    <row r="71" spans="1:22"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row>
    <row r="72" spans="1:22"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row>
    <row r="73" spans="1:22"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row>
    <row r="74" spans="1:22"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row>
    <row r="75" spans="1:22"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row>
    <row r="76" spans="1:22"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row>
    <row r="77" spans="1:22"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row>
    <row r="78" spans="1:22"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row>
    <row r="79" spans="1:22"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row>
    <row r="80" spans="1:22"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row>
    <row r="81" spans="1:22"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row>
    <row r="82" spans="1:22"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row>
    <row r="83" spans="1:22"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row>
    <row r="84" spans="1:22"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row>
    <row r="85" spans="1:22"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row>
    <row r="86" spans="1:22"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row>
    <row r="87" spans="1:22"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row>
    <row r="88" spans="1:22"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row>
    <row r="89" spans="1:22"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row>
    <row r="90" spans="1:22"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row>
    <row r="91" spans="1:22"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row>
    <row r="92" spans="1:22"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row>
    <row r="93" spans="1:22"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row>
    <row r="94" spans="1:22"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row>
    <row r="95" spans="1:22"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row>
    <row r="96" spans="1:22"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row>
    <row r="97" spans="1:22"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row>
    <row r="98" spans="1:22"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row>
    <row r="99" spans="1:22"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row>
    <row r="100" spans="1:22"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row>
    <row r="101" spans="1:22"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row>
    <row r="102" spans="1:22"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row>
    <row r="103" spans="1:22"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row>
    <row r="104" spans="1:22"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row>
    <row r="105" spans="1:22"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row>
    <row r="106" spans="1:22"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row>
    <row r="107" spans="1:22"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row>
    <row r="108" spans="1:22"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row>
    <row r="109" spans="1:22"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row>
    <row r="110" spans="1:22"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row>
    <row r="111" spans="1:22"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row>
    <row r="112" spans="1:22"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row>
    <row r="113" spans="1:22"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row>
    <row r="114" spans="1:22"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row>
    <row r="115" spans="1:22"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row>
    <row r="116" spans="1:22"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row>
    <row r="117" spans="1:22"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row>
    <row r="118" spans="1:22"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row>
    <row r="119" spans="1:22"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row>
    <row r="120" spans="1:22"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row>
    <row r="121" spans="1:22"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row>
    <row r="122" spans="1:22"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row>
    <row r="123" spans="1:22"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row>
    <row r="124" spans="1:22"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row>
    <row r="125" spans="1:22"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row>
    <row r="126" spans="1:22"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row>
    <row r="127" spans="1:22"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row>
    <row r="128" spans="1:22"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row>
    <row r="129" spans="1:22"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row>
    <row r="130" spans="1:22"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row>
    <row r="131" spans="1:22"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row>
    <row r="132" spans="1:22"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row>
    <row r="133" spans="1:22"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row>
    <row r="134" spans="1:22"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row>
    <row r="135" spans="1:22"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row>
    <row r="136" spans="1:22"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row>
    <row r="137" spans="1:22"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row>
    <row r="138" spans="1:22"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row>
    <row r="139" spans="1:22"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row>
    <row r="140" spans="1:22"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row>
    <row r="141" spans="1:22"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row>
    <row r="142" spans="1:22"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row>
    <row r="143" spans="1:22"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row>
    <row r="144" spans="1:22"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row>
    <row r="145" spans="1:22"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row>
    <row r="146" spans="1:22"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row>
    <row r="147" spans="1:22"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row>
    <row r="148" spans="1:22"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row>
    <row r="149" spans="1:22"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row>
    <row r="150" spans="1:22"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row>
    <row r="151" spans="1:22"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row>
    <row r="152" spans="1:22"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row>
    <row r="153" spans="1:22"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row>
    <row r="154" spans="1:22"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row>
    <row r="155" spans="1:22"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row>
    <row r="156" spans="1:22"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row>
    <row r="157" spans="1:22"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row>
    <row r="158" spans="1:22"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row>
    <row r="159" spans="1:22"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row>
    <row r="160" spans="1:22"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row>
    <row r="161" spans="1:22"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row>
    <row r="162" spans="1:22"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row>
    <row r="163" spans="1:22"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row>
    <row r="164" spans="1:22"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row>
    <row r="165" spans="1:22"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row>
    <row r="166" spans="1:22"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row>
    <row r="167" spans="1:22"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row>
    <row r="168" spans="1:22"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row>
    <row r="169" spans="1:22"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row>
    <row r="170" spans="1:22"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row>
    <row r="171" spans="1:22"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row>
    <row r="172" spans="1:22"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row>
    <row r="173" spans="1:22"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row>
    <row r="174" spans="1:22"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row>
    <row r="175" spans="1:22"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row>
    <row r="176" spans="1:22"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row>
    <row r="177" spans="1:22"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row>
    <row r="178" spans="1:22"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row>
    <row r="179" spans="1:22"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row>
    <row r="180" spans="1:22"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row>
    <row r="181" spans="1:22"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row>
    <row r="182" spans="1:22"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row>
    <row r="183" spans="1:22"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row>
    <row r="184" spans="1:22"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row>
    <row r="185" spans="1:22"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row>
    <row r="186" spans="1:22"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row>
    <row r="187" spans="1:22"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row>
    <row r="188" spans="1:22"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row>
    <row r="189" spans="1:22"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row>
    <row r="190" spans="1:22"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row>
    <row r="191" spans="1:22"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row>
    <row r="192" spans="1:22"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row>
    <row r="193" spans="1:22"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row>
    <row r="194" spans="1:22"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row>
    <row r="195" spans="1:22"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row>
    <row r="196" spans="1:22"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row>
    <row r="197" spans="1:22"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row>
    <row r="198" spans="1:22"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row>
    <row r="199" spans="1:22"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row>
    <row r="200" spans="1:22"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row>
    <row r="201" spans="1:22"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row>
    <row r="202" spans="1:22"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row>
    <row r="203" spans="1:22"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row>
    <row r="204" spans="1:22"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row>
    <row r="205" spans="1:22"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row>
    <row r="206" spans="1:22"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row>
    <row r="207" spans="1:22"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row>
    <row r="208" spans="1:22"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row>
    <row r="209" spans="1:22"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row>
    <row r="210" spans="1:22"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row>
    <row r="211" spans="1:22"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row>
    <row r="212" spans="1:22"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row>
    <row r="213" spans="1:22"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row>
    <row r="214" spans="1:22"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row>
    <row r="215" spans="1:22"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row>
    <row r="216" spans="1:22"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row>
    <row r="217" spans="1:22"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row>
    <row r="218" spans="1:22"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row>
    <row r="219" spans="1:22"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row>
    <row r="220" spans="1:22"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row>
    <row r="221" spans="1:22"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row>
    <row r="222" spans="1:22"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row>
    <row r="223" spans="1:22"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row>
    <row r="224" spans="1:22"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row>
    <row r="225" spans="1:22"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row>
    <row r="226" spans="1:22"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row>
    <row r="227" spans="1:22"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row>
    <row r="228" spans="1:22"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row>
    <row r="229" spans="1:22"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row>
    <row r="230" spans="1:22"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row>
    <row r="231" spans="1:22"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row>
    <row r="232" spans="1:22"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row>
    <row r="233" spans="1:22"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row>
    <row r="234" spans="1:22"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row>
    <row r="235" spans="1:22"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row>
    <row r="236" spans="1:22"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row>
    <row r="237" spans="1:22"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row>
    <row r="238" spans="1:22"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row>
    <row r="239" spans="1:22"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row>
    <row r="240" spans="1:22"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row>
    <row r="241" spans="1:22"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row>
    <row r="242" spans="1:22"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row>
    <row r="243" spans="1:22"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row>
    <row r="244" spans="1:22"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row>
    <row r="245" spans="1:22"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row>
    <row r="246" spans="1:22"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row>
    <row r="247" spans="1:22"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row>
    <row r="248" spans="1:22"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row>
    <row r="249" spans="1:22"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row>
    <row r="250" spans="1:22"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row>
    <row r="251" spans="1:22"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row>
    <row r="252" spans="1:22"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row>
    <row r="253" spans="1:22"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row>
    <row r="254" spans="1:22"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row>
    <row r="255" spans="1:22"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row>
    <row r="256" spans="1:22"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row>
    <row r="257" spans="1:22"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row>
    <row r="258" spans="1:22"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row>
    <row r="259" spans="1:22"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row>
    <row r="260" spans="1:22"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row>
    <row r="261" spans="1:22"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row>
    <row r="262" spans="1:22"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row>
    <row r="263" spans="1:22"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row>
    <row r="264" spans="1:22"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row>
    <row r="265" spans="1:22"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row>
    <row r="266" spans="1:22"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row>
    <row r="267" spans="1:22"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row>
    <row r="268" spans="1:22"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row>
    <row r="269" spans="1:22"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row>
    <row r="270" spans="1:22"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row>
    <row r="271" spans="1:22"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row>
    <row r="272" spans="1:22"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row>
    <row r="273" spans="1:22"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row>
    <row r="274" spans="1:22"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row>
    <row r="275" spans="1:22"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row>
    <row r="276" spans="1:22"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row>
    <row r="277" spans="1:22"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row>
    <row r="278" spans="1:22"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row>
    <row r="279" spans="1:22"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row>
    <row r="280" spans="1:22"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row>
    <row r="281" spans="1:22"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row>
    <row r="282" spans="1:22"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row>
    <row r="283" spans="1:22"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row>
    <row r="284" spans="1:22"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row>
    <row r="285" spans="1:22"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row>
    <row r="286" spans="1:22"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row>
    <row r="287" spans="1:22"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row>
    <row r="288" spans="1:22"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row>
    <row r="289" spans="1:22"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row>
    <row r="290" spans="1:22"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row>
    <row r="291" spans="1:22"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row>
    <row r="292" spans="1:22"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row>
    <row r="293" spans="1:22"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row>
    <row r="294" spans="1:22"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row>
    <row r="295" spans="1:22"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row>
    <row r="296" spans="1:22"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row>
    <row r="297" spans="1:22"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row>
    <row r="298" spans="1:22"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row>
    <row r="299" spans="1:22"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row>
    <row r="300" spans="1:22"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row>
    <row r="301" spans="1:22"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row>
    <row r="302" spans="1:22"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row>
    <row r="303" spans="1:22"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row>
    <row r="304" spans="1:22"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row>
    <row r="305" spans="1:22"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row>
    <row r="306" spans="1:22"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row>
    <row r="307" spans="1:22"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row>
    <row r="308" spans="1:22"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row>
    <row r="309" spans="1:22"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row>
    <row r="310" spans="1:22"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row>
    <row r="311" spans="1:22"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row>
    <row r="312" spans="1:22"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row>
    <row r="313" spans="1:22"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row>
    <row r="314" spans="1:22"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row>
    <row r="315" spans="1:22"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row>
    <row r="316" spans="1:22"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row>
    <row r="317" spans="1:22"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row>
    <row r="318" spans="1:22"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row>
    <row r="319" spans="1:22"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row>
    <row r="320" spans="1:22"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row>
    <row r="321" spans="1:22"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row>
    <row r="322" spans="1:22"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row>
    <row r="323" spans="1:22"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row>
    <row r="324" spans="1:22"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row>
    <row r="325" spans="1:22"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row>
    <row r="326" spans="1:22"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row>
    <row r="327" spans="1:22"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row>
    <row r="328" spans="1:22"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row>
  </sheetData>
  <mergeCells count="12">
    <mergeCell ref="D40:D45"/>
    <mergeCell ref="A24:C24"/>
    <mergeCell ref="A39:C39"/>
    <mergeCell ref="A10:C10"/>
    <mergeCell ref="A12:C12"/>
    <mergeCell ref="A13:C13"/>
    <mergeCell ref="A15:C15"/>
    <mergeCell ref="A5:C5"/>
    <mergeCell ref="A16:C16"/>
    <mergeCell ref="A18:C18"/>
    <mergeCell ref="A7:C7"/>
    <mergeCell ref="A9:C9"/>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opLeftCell="A34" zoomScale="55" zoomScaleNormal="55" workbookViewId="0">
      <selection activeCell="B73" sqref="B73:K73"/>
    </sheetView>
  </sheetViews>
  <sheetFormatPr defaultColWidth="9.140625" defaultRowHeight="15.75" x14ac:dyDescent="0.25"/>
  <cols>
    <col min="1" max="1" width="9.140625" style="45"/>
    <col min="2" max="2" width="57.85546875" style="45" customWidth="1"/>
    <col min="3" max="3" width="13" style="45" customWidth="1"/>
    <col min="4" max="4" width="17.85546875" style="46" customWidth="1"/>
    <col min="5" max="5" width="20.42578125" style="46" customWidth="1"/>
    <col min="6" max="6" width="18.7109375" style="46" customWidth="1"/>
    <col min="7" max="9" width="10" style="45" customWidth="1"/>
    <col min="10" max="10" width="11.5703125" style="45" customWidth="1"/>
    <col min="11" max="11" width="10" style="45" customWidth="1"/>
    <col min="12" max="12" width="9.140625" style="45"/>
    <col min="13" max="13" width="11.7109375" style="45" customWidth="1"/>
    <col min="14" max="14" width="21.28515625" style="45" customWidth="1"/>
    <col min="15" max="16384" width="9.140625" style="45"/>
  </cols>
  <sheetData>
    <row r="1" spans="1:11" ht="18.75" x14ac:dyDescent="0.25">
      <c r="K1" s="16" t="s">
        <v>22</v>
      </c>
    </row>
    <row r="2" spans="1:11" ht="18.75" x14ac:dyDescent="0.3">
      <c r="K2" s="14" t="s">
        <v>6</v>
      </c>
    </row>
    <row r="3" spans="1:11" x14ac:dyDescent="0.25">
      <c r="A3" s="241"/>
      <c r="B3" s="241"/>
      <c r="C3" s="241"/>
      <c r="D3" s="241"/>
      <c r="E3" s="241"/>
      <c r="F3" s="241"/>
      <c r="G3" s="241"/>
      <c r="H3" s="241"/>
      <c r="I3" s="241"/>
      <c r="J3" s="241"/>
      <c r="K3" s="241"/>
    </row>
    <row r="4" spans="1:11" s="77" customFormat="1" x14ac:dyDescent="0.2">
      <c r="A4" s="325" t="str">
        <f>'1. паспорт местоположение'!A5</f>
        <v>Год раскрытия информации: 2025 год</v>
      </c>
      <c r="B4" s="325"/>
      <c r="C4" s="325"/>
      <c r="D4" s="325"/>
      <c r="E4" s="325"/>
      <c r="F4" s="325"/>
      <c r="G4" s="325"/>
      <c r="H4" s="325"/>
      <c r="I4" s="325"/>
      <c r="J4" s="325"/>
      <c r="K4" s="325"/>
    </row>
    <row r="5" spans="1:11" s="77" customFormat="1" x14ac:dyDescent="0.2">
      <c r="A5" s="158"/>
      <c r="B5" s="156"/>
      <c r="C5" s="156"/>
      <c r="D5" s="156"/>
      <c r="E5" s="156"/>
      <c r="F5" s="156"/>
      <c r="G5" s="315"/>
      <c r="H5" s="315"/>
      <c r="I5" s="315"/>
      <c r="J5" s="315"/>
      <c r="K5" s="315"/>
    </row>
    <row r="6" spans="1:11" s="77" customFormat="1" x14ac:dyDescent="0.2">
      <c r="A6" s="325" t="str">
        <f>'1. паспорт местоположение'!A7</f>
        <v xml:space="preserve">Паспорт инвестиционного проекта </v>
      </c>
      <c r="B6" s="325"/>
      <c r="C6" s="325"/>
      <c r="D6" s="325"/>
      <c r="E6" s="325"/>
      <c r="F6" s="325"/>
      <c r="G6" s="325"/>
      <c r="H6" s="325"/>
      <c r="I6" s="325"/>
      <c r="J6" s="325"/>
      <c r="K6" s="325"/>
    </row>
    <row r="7" spans="1:11" s="77" customFormat="1" ht="18.75" x14ac:dyDescent="0.2">
      <c r="A7" s="154"/>
      <c r="B7" s="154"/>
      <c r="C7" s="154"/>
      <c r="D7" s="154"/>
      <c r="E7" s="154"/>
      <c r="F7" s="154"/>
      <c r="G7" s="240"/>
      <c r="H7" s="240"/>
      <c r="I7" s="240"/>
      <c r="J7" s="240"/>
      <c r="K7" s="240"/>
    </row>
    <row r="8" spans="1:11" s="77" customFormat="1" x14ac:dyDescent="0.2">
      <c r="A8" s="325" t="str">
        <f>'1. паспорт местоположение'!A9</f>
        <v>АО "Чеченэнерго"</v>
      </c>
      <c r="B8" s="325"/>
      <c r="C8" s="325"/>
      <c r="D8" s="325"/>
      <c r="E8" s="325"/>
      <c r="F8" s="325"/>
      <c r="G8" s="325"/>
      <c r="H8" s="325"/>
      <c r="I8" s="325"/>
      <c r="J8" s="325"/>
      <c r="K8" s="325"/>
    </row>
    <row r="9" spans="1:11" s="77" customFormat="1" x14ac:dyDescent="0.2">
      <c r="A9" s="246" t="str">
        <f>'1. паспорт местоположение'!A10</f>
        <v xml:space="preserve">         (фирменное наименование субъекта электроэнергетики)</v>
      </c>
      <c r="B9" s="246"/>
      <c r="C9" s="246"/>
      <c r="D9" s="246"/>
      <c r="E9" s="246"/>
      <c r="F9" s="246"/>
      <c r="G9" s="246"/>
      <c r="H9" s="246"/>
      <c r="I9" s="246"/>
      <c r="J9" s="246"/>
      <c r="K9" s="246"/>
    </row>
    <row r="10" spans="1:11" s="77" customFormat="1" ht="18.75" x14ac:dyDescent="0.2">
      <c r="A10" s="154"/>
      <c r="B10" s="154"/>
      <c r="C10" s="154"/>
      <c r="D10" s="154"/>
      <c r="E10" s="154"/>
      <c r="F10" s="154"/>
      <c r="G10" s="240"/>
      <c r="H10" s="240"/>
      <c r="I10" s="240"/>
      <c r="J10" s="240"/>
      <c r="K10" s="240"/>
    </row>
    <row r="11" spans="1:11" s="77" customFormat="1" x14ac:dyDescent="0.2">
      <c r="A11" s="241" t="str">
        <f>'1. паспорт местоположение'!A12</f>
        <v>L_Che370</v>
      </c>
      <c r="B11" s="241"/>
      <c r="C11" s="241"/>
      <c r="D11" s="241"/>
      <c r="E11" s="241"/>
      <c r="F11" s="241"/>
      <c r="G11" s="241"/>
      <c r="H11" s="241"/>
      <c r="I11" s="241"/>
      <c r="J11" s="241"/>
      <c r="K11" s="241"/>
    </row>
    <row r="12" spans="1:11" s="77" customFormat="1" x14ac:dyDescent="0.2">
      <c r="A12" s="246" t="str">
        <f>'1. паспорт местоположение'!A13</f>
        <v xml:space="preserve">         (идентификатор инвестиционного проекта)</v>
      </c>
      <c r="B12" s="246"/>
      <c r="C12" s="246"/>
      <c r="D12" s="246"/>
      <c r="E12" s="246"/>
      <c r="F12" s="246"/>
      <c r="G12" s="246"/>
      <c r="H12" s="246"/>
      <c r="I12" s="246"/>
      <c r="J12" s="246"/>
      <c r="K12" s="246"/>
    </row>
    <row r="13" spans="1:11" s="80" customFormat="1" ht="15.75" customHeight="1" x14ac:dyDescent="0.2">
      <c r="A13" s="157"/>
      <c r="B13" s="157"/>
      <c r="C13" s="157"/>
      <c r="D13" s="157"/>
      <c r="E13" s="157"/>
      <c r="F13" s="157"/>
      <c r="G13" s="274"/>
      <c r="H13" s="274"/>
      <c r="I13" s="274"/>
      <c r="J13" s="274"/>
      <c r="K13" s="274"/>
    </row>
    <row r="14" spans="1:11" s="25" customFormat="1" x14ac:dyDescent="0.2">
      <c r="A14" s="241" t="str">
        <f>'1. паспорт местоположение'!A15</f>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
      <c r="B14" s="241"/>
      <c r="C14" s="241"/>
      <c r="D14" s="241"/>
      <c r="E14" s="241"/>
      <c r="F14" s="241"/>
      <c r="G14" s="241"/>
      <c r="H14" s="241"/>
      <c r="I14" s="241"/>
      <c r="J14" s="241"/>
      <c r="K14" s="241"/>
    </row>
    <row r="15" spans="1:11" s="25" customFormat="1" ht="15" customHeight="1" x14ac:dyDescent="0.2">
      <c r="A15" s="246" t="str">
        <f>'1. паспорт местоположение'!A16</f>
        <v xml:space="preserve">         (наименование инвестиционного проекта)</v>
      </c>
      <c r="B15" s="246"/>
      <c r="C15" s="246"/>
      <c r="D15" s="246"/>
      <c r="E15" s="246"/>
      <c r="F15" s="246"/>
      <c r="G15" s="246"/>
      <c r="H15" s="246"/>
      <c r="I15" s="246"/>
      <c r="J15" s="246"/>
      <c r="K15" s="246"/>
    </row>
    <row r="16" spans="1:11" s="25" customFormat="1" ht="15" customHeight="1" x14ac:dyDescent="0.2">
      <c r="A16" s="15"/>
      <c r="B16" s="15"/>
      <c r="C16" s="15"/>
      <c r="D16" s="15"/>
      <c r="E16" s="15"/>
      <c r="F16" s="15"/>
      <c r="G16" s="15"/>
      <c r="H16" s="15"/>
      <c r="I16" s="15"/>
      <c r="J16" s="15"/>
      <c r="K16" s="15"/>
    </row>
    <row r="17" spans="1:14" ht="18.75" customHeight="1" x14ac:dyDescent="0.25">
      <c r="A17" s="155"/>
      <c r="B17" s="155"/>
      <c r="C17" s="155"/>
      <c r="D17" s="155"/>
      <c r="E17" s="155"/>
      <c r="F17" s="155"/>
      <c r="G17" s="155"/>
      <c r="H17" s="155"/>
      <c r="I17" s="155"/>
      <c r="J17" s="155"/>
      <c r="K17" s="155"/>
    </row>
    <row r="19" spans="1:14" x14ac:dyDescent="0.25">
      <c r="A19" s="314" t="s">
        <v>246</v>
      </c>
      <c r="B19" s="314"/>
      <c r="C19" s="314"/>
      <c r="D19" s="314"/>
      <c r="E19" s="314"/>
      <c r="F19" s="314"/>
      <c r="G19" s="314"/>
      <c r="H19" s="314"/>
      <c r="I19" s="314"/>
      <c r="J19" s="314"/>
      <c r="K19" s="314"/>
    </row>
    <row r="20" spans="1:14" ht="15.75" customHeight="1" x14ac:dyDescent="0.25">
      <c r="A20" s="306" t="s">
        <v>101</v>
      </c>
      <c r="B20" s="306" t="s">
        <v>100</v>
      </c>
      <c r="C20" s="308" t="s">
        <v>99</v>
      </c>
      <c r="D20" s="309"/>
      <c r="E20" s="310" t="s">
        <v>98</v>
      </c>
      <c r="F20" s="311"/>
      <c r="G20" s="306" t="s">
        <v>768</v>
      </c>
      <c r="H20" s="318" t="s">
        <v>769</v>
      </c>
      <c r="I20" s="319"/>
      <c r="J20" s="319"/>
      <c r="K20" s="320"/>
    </row>
    <row r="21" spans="1:14" ht="33" customHeight="1" x14ac:dyDescent="0.25">
      <c r="A21" s="307"/>
      <c r="B21" s="307"/>
      <c r="C21" s="296"/>
      <c r="D21" s="297"/>
      <c r="E21" s="312"/>
      <c r="F21" s="313"/>
      <c r="G21" s="307"/>
      <c r="H21" s="316" t="s">
        <v>0</v>
      </c>
      <c r="I21" s="317"/>
      <c r="J21" s="316" t="s">
        <v>425</v>
      </c>
      <c r="K21" s="317"/>
      <c r="L21" s="47"/>
      <c r="M21" s="47"/>
      <c r="N21" s="47"/>
    </row>
    <row r="22" spans="1:14" ht="99.75" customHeight="1" x14ac:dyDescent="0.25">
      <c r="A22" s="302"/>
      <c r="B22" s="302"/>
      <c r="C22" s="214" t="s">
        <v>0</v>
      </c>
      <c r="D22" s="214" t="s">
        <v>425</v>
      </c>
      <c r="E22" s="65" t="s">
        <v>770</v>
      </c>
      <c r="F22" s="65" t="s">
        <v>771</v>
      </c>
      <c r="G22" s="302"/>
      <c r="H22" s="48" t="s">
        <v>761</v>
      </c>
      <c r="I22" s="48" t="s">
        <v>762</v>
      </c>
      <c r="J22" s="48" t="s">
        <v>761</v>
      </c>
      <c r="K22" s="48" t="s">
        <v>762</v>
      </c>
    </row>
    <row r="23" spans="1:14" x14ac:dyDescent="0.25">
      <c r="A23" s="202">
        <v>1</v>
      </c>
      <c r="B23" s="202">
        <v>2</v>
      </c>
      <c r="C23" s="202">
        <v>3</v>
      </c>
      <c r="D23" s="202">
        <v>4</v>
      </c>
      <c r="E23" s="202">
        <v>5</v>
      </c>
      <c r="F23" s="202">
        <v>6</v>
      </c>
      <c r="G23" s="202">
        <f>F23+1</f>
        <v>7</v>
      </c>
      <c r="H23" s="202">
        <f t="shared" ref="H23:K23" si="0">G23+1</f>
        <v>8</v>
      </c>
      <c r="I23" s="202">
        <f t="shared" si="0"/>
        <v>9</v>
      </c>
      <c r="J23" s="202">
        <f t="shared" si="0"/>
        <v>10</v>
      </c>
      <c r="K23" s="202">
        <f t="shared" si="0"/>
        <v>11</v>
      </c>
    </row>
    <row r="24" spans="1:14" ht="47.25" x14ac:dyDescent="0.25">
      <c r="A24" s="49">
        <v>1</v>
      </c>
      <c r="B24" s="50" t="s">
        <v>97</v>
      </c>
      <c r="C24" s="172">
        <f>VLOOKUP($A$11,'[1]6.2. отчет'!$D:$K,2,0)</f>
        <v>188.67278637200002</v>
      </c>
      <c r="D24" s="234">
        <f>VLOOKUP($A$11,'[1]6.2. отчет'!$D:$K,5,0)</f>
        <v>188.67278637200002</v>
      </c>
      <c r="E24" s="172">
        <f>VLOOKUP($A$11,'[1]6.2. отчет'!$D:$K,7,0)</f>
        <v>70.014478980000007</v>
      </c>
      <c r="F24" s="172">
        <f>VLOOKUP($A$11,'[1]6.2. отчет'!$D:$K,8,0)</f>
        <v>8.0322565600000075</v>
      </c>
      <c r="G24" s="172">
        <f>VLOOKUP($A$11,'[1]6.2. отчет'!$D:$BL,9,0)</f>
        <v>61.982222420000006</v>
      </c>
      <c r="H24" s="172">
        <f>VLOOKUP($A$11,'[1]6.2. отчет'!$D:$BL,15,0)</f>
        <v>8.0322565599999951</v>
      </c>
      <c r="I24" s="172">
        <f>VLOOKUP($A$11,'[1]6.2. отчет'!$D:$CU,45,0)</f>
        <v>0</v>
      </c>
      <c r="J24" s="172">
        <f>VLOOKUP($A$11,'[1]6.2. отчет'!$D:$BL,56,0)</f>
        <v>8.0322565600000004</v>
      </c>
      <c r="K24" s="172">
        <f>VLOOKUP($A$11,'[1]6.2. отчет'!$D:$CU,86,0)</f>
        <v>0</v>
      </c>
    </row>
    <row r="25" spans="1:14" s="51" customFormat="1" ht="47.25" customHeight="1" x14ac:dyDescent="0.25">
      <c r="A25" s="52" t="s">
        <v>96</v>
      </c>
      <c r="B25" s="53" t="s">
        <v>95</v>
      </c>
      <c r="C25" s="172">
        <f t="shared" ref="C25:C26" si="1">H25</f>
        <v>0</v>
      </c>
      <c r="D25" s="172">
        <f>G25+J25</f>
        <v>0</v>
      </c>
      <c r="E25" s="172">
        <f t="shared" ref="E25:E28" si="2">F25+G25</f>
        <v>0</v>
      </c>
      <c r="F25" s="172">
        <f t="shared" ref="F25:F26" si="3">J25</f>
        <v>0</v>
      </c>
      <c r="G25" s="172">
        <f>VLOOKUP($A$11,'[1]6.2. отчет'!$D:$BL,10,0)</f>
        <v>0</v>
      </c>
      <c r="H25" s="172">
        <f>VLOOKUP($A$11,'[1]6.2. отчет'!$D:$BL,16,0)</f>
        <v>0</v>
      </c>
      <c r="I25" s="172">
        <f>IF(H25=0,0,VLOOKUP($A$11,'[1]6.2. отчет'!$D:$CU,46,0))</f>
        <v>0</v>
      </c>
      <c r="J25" s="172">
        <f>VLOOKUP($A$11,'[1]6.2. отчет'!$D:$BL,57,0)</f>
        <v>0</v>
      </c>
      <c r="K25" s="172">
        <f>IF(J25=0,0,VLOOKUP($A$11,'[1]6.2. отчет'!$D:$CU,87,0))</f>
        <v>0</v>
      </c>
    </row>
    <row r="26" spans="1:14" ht="24" customHeight="1" x14ac:dyDescent="0.25">
      <c r="A26" s="52" t="s">
        <v>94</v>
      </c>
      <c r="B26" s="53" t="s">
        <v>93</v>
      </c>
      <c r="C26" s="172">
        <f t="shared" si="1"/>
        <v>0</v>
      </c>
      <c r="D26" s="172">
        <f>G26+J26</f>
        <v>0</v>
      </c>
      <c r="E26" s="172">
        <f t="shared" si="2"/>
        <v>0</v>
      </c>
      <c r="F26" s="172">
        <f t="shared" si="3"/>
        <v>0</v>
      </c>
      <c r="G26" s="172">
        <f>VLOOKUP($A$11,'[1]6.2. отчет'!$D:$BL,11,0)</f>
        <v>0</v>
      </c>
      <c r="H26" s="172">
        <f>VLOOKUP($A$11,'[1]6.2. отчет'!$D:$BL,17,0)</f>
        <v>0</v>
      </c>
      <c r="I26" s="172">
        <f>IF(H26=0,0,VLOOKUP($A$11,'[1]6.2. отчет'!$D:$CU,47,0))</f>
        <v>0</v>
      </c>
      <c r="J26" s="172">
        <f>VLOOKUP($A$11,'[1]6.2. отчет'!$D:$BL,58,0)</f>
        <v>0</v>
      </c>
      <c r="K26" s="172">
        <f>IF(J26=0,0,VLOOKUP($A$11,'[1]6.2. отчет'!$D:$CU,88,0))</f>
        <v>0</v>
      </c>
    </row>
    <row r="27" spans="1:14" ht="31.5" x14ac:dyDescent="0.25">
      <c r="A27" s="52" t="s">
        <v>92</v>
      </c>
      <c r="B27" s="53" t="s">
        <v>197</v>
      </c>
      <c r="C27" s="172">
        <f>IF(C24="нд","нд",C24-(C29+C28+C26+C25))</f>
        <v>180.64052981200001</v>
      </c>
      <c r="D27" s="172">
        <f>G27+J27+D24-(G24+J24)</f>
        <v>123.6953799836667</v>
      </c>
      <c r="E27" s="172">
        <f>F27+G27</f>
        <v>13.069329151666684</v>
      </c>
      <c r="F27" s="172">
        <f>F24-(F25+F26+F28+F29)</f>
        <v>8.0322565600000075</v>
      </c>
      <c r="G27" s="172">
        <f>VLOOKUP($A$11,'[1]6.2. отчет'!$D:$BL,12,0)</f>
        <v>5.0370725916666768</v>
      </c>
      <c r="H27" s="172">
        <f>VLOOKUP($A$11,'[1]6.2. отчет'!$D:$BL,18,0)</f>
        <v>0</v>
      </c>
      <c r="I27" s="172">
        <f>IF(H27=0,0,VLOOKUP($A$11,'[1]6.2. отчет'!$D:$CU,48,0))</f>
        <v>0</v>
      </c>
      <c r="J27" s="172">
        <f>VLOOKUP($A$11,'[1]6.2. отчет'!$D:$BL,59,0)</f>
        <v>0</v>
      </c>
      <c r="K27" s="172">
        <f>IF(J27=0,0,VLOOKUP($A$11,'[1]6.2. отчет'!$D:$CU,89,0))</f>
        <v>0</v>
      </c>
    </row>
    <row r="28" spans="1:14" x14ac:dyDescent="0.25">
      <c r="A28" s="52" t="s">
        <v>91</v>
      </c>
      <c r="B28" s="53" t="s">
        <v>90</v>
      </c>
      <c r="C28" s="172">
        <f>H28</f>
        <v>0</v>
      </c>
      <c r="D28" s="172">
        <f t="shared" ref="D28:D29" si="4">G28+J28</f>
        <v>0</v>
      </c>
      <c r="E28" s="172">
        <f t="shared" si="2"/>
        <v>0</v>
      </c>
      <c r="F28" s="172">
        <v>0</v>
      </c>
      <c r="G28" s="172">
        <f>VLOOKUP($A$11,'[1]6.2. отчет'!$D:$BL,13,0)</f>
        <v>0</v>
      </c>
      <c r="H28" s="172">
        <f>VLOOKUP($A$11,'[1]6.2. отчет'!$D:$BL,19,0)</f>
        <v>0</v>
      </c>
      <c r="I28" s="172">
        <f>IF(H28=0,0,VLOOKUP($A$11,'[1]6.2. отчет'!$D:$CU,49,0))</f>
        <v>0</v>
      </c>
      <c r="J28" s="172">
        <f>VLOOKUP($A$11,'[1]6.2. отчет'!$D:$BL,60,0)</f>
        <v>0</v>
      </c>
      <c r="K28" s="172">
        <f>IF(J28=0,0,VLOOKUP($A$11,'[1]6.2. отчет'!$D:$CU,90,0))</f>
        <v>0</v>
      </c>
    </row>
    <row r="29" spans="1:14" x14ac:dyDescent="0.25">
      <c r="A29" s="52" t="s">
        <v>89</v>
      </c>
      <c r="B29" s="55" t="s">
        <v>88</v>
      </c>
      <c r="C29" s="172">
        <f>H29</f>
        <v>8.0322565599999951</v>
      </c>
      <c r="D29" s="172">
        <f t="shared" si="4"/>
        <v>64.977406388333321</v>
      </c>
      <c r="E29" s="172">
        <f>F29+G29</f>
        <v>56.945149828333328</v>
      </c>
      <c r="F29" s="172">
        <v>0</v>
      </c>
      <c r="G29" s="172">
        <f>VLOOKUP($A$11,'[1]6.2. отчет'!$D:$BL,14,0)</f>
        <v>56.945149828333328</v>
      </c>
      <c r="H29" s="172">
        <f>VLOOKUP($A$11,'[1]6.2. отчет'!$D:$BL,20,0)</f>
        <v>8.0322565599999951</v>
      </c>
      <c r="I29" s="172">
        <f>IF(H29=0,0,VLOOKUP($A$11,'[1]6.2. отчет'!$D:$CU,50,0))</f>
        <v>0</v>
      </c>
      <c r="J29" s="172">
        <f>VLOOKUP($A$11,'[1]6.2. отчет'!$D:$BL,61,0)</f>
        <v>8.0322565600000004</v>
      </c>
      <c r="K29" s="172">
        <f>IF(J29=0,0,VLOOKUP($A$11,'[1]6.2. отчет'!$D:$CU,91,0))</f>
        <v>0</v>
      </c>
    </row>
    <row r="30" spans="1:14" ht="47.25" x14ac:dyDescent="0.25">
      <c r="A30" s="49" t="s">
        <v>17</v>
      </c>
      <c r="B30" s="50" t="s">
        <v>87</v>
      </c>
      <c r="C30" s="172">
        <f>VLOOKUP($A$11,'[1]6.2. отчет'!$D:$DB,99,0)</f>
        <v>158.85003632999999</v>
      </c>
      <c r="D30" s="172">
        <f>VLOOKUP($A$11,'[1]6.2. отчет'!$D:$FK,106,0)</f>
        <v>158.85003632999999</v>
      </c>
      <c r="E30" s="172">
        <f>VLOOKUP($A$11,'[1]6.2. отчет'!$D:$FK,108,0)</f>
        <v>55.050033600000006</v>
      </c>
      <c r="F30" s="172">
        <f>VLOOKUP($A$11,'[1]6.2. отчет'!$D:$FK,109,0)</f>
        <v>0</v>
      </c>
      <c r="G30" s="172">
        <f>VLOOKUP($A$11,'[1]6.2. отчет'!$D:$FK,110,0)</f>
        <v>55.050033600000006</v>
      </c>
      <c r="H30" s="172">
        <f>VLOOKUP($A$11,'[1]6.2. отчет'!$D:$FK,115,0)</f>
        <v>0</v>
      </c>
      <c r="I30" s="172">
        <f>VLOOKUP($A$11,'[1]6.2. отчет'!$D:$AGP,124,0)</f>
        <v>0</v>
      </c>
      <c r="J30" s="172">
        <f>VLOOKUP($A$11,'[1]6.2. отчет'!$D:$FK,130,0)</f>
        <v>0</v>
      </c>
      <c r="K30" s="172">
        <f>VLOOKUP($A$11,'[1]6.2. отчет'!$D:$FK,155,0)</f>
        <v>0</v>
      </c>
      <c r="M30" s="63"/>
      <c r="N30" s="63"/>
    </row>
    <row r="31" spans="1:14" s="51" customFormat="1" x14ac:dyDescent="0.25">
      <c r="A31" s="49" t="s">
        <v>86</v>
      </c>
      <c r="B31" s="53" t="s">
        <v>85</v>
      </c>
      <c r="C31" s="172">
        <f>VLOOKUP($A$11,'[1]6.2. отчет'!$D:$DB,100,0)</f>
        <v>12.218050610000001</v>
      </c>
      <c r="D31" s="172">
        <v>12.218050610000001</v>
      </c>
      <c r="E31" s="172">
        <f>F31+G31</f>
        <v>0</v>
      </c>
      <c r="F31" s="172">
        <v>0</v>
      </c>
      <c r="G31" s="172">
        <f>VLOOKUP($A$11,'[1]6.2. отчет'!$D:$FK,111,0)</f>
        <v>0</v>
      </c>
      <c r="H31" s="172">
        <v>0</v>
      </c>
      <c r="I31" s="172">
        <f>VLOOKUP($A$11,'[1]6.2. отчет'!$D:$FK,131,0)</f>
        <v>0</v>
      </c>
      <c r="J31" s="172">
        <f>VLOOKUP($A$11,'[1]6.2. отчет'!$D:$FK,131,0)</f>
        <v>0</v>
      </c>
      <c r="K31" s="172">
        <f>IF(J31=0,0,VLOOKUP($A$11,'[1]6.2. отчет'!$D:$FK,156,0))</f>
        <v>0</v>
      </c>
      <c r="M31" s="63"/>
      <c r="N31" s="63"/>
    </row>
    <row r="32" spans="1:14" ht="31.5" x14ac:dyDescent="0.25">
      <c r="A32" s="49" t="s">
        <v>84</v>
      </c>
      <c r="B32" s="53" t="s">
        <v>83</v>
      </c>
      <c r="C32" s="172">
        <f>VLOOKUP($A$11,'[1]6.2. отчет'!$D:$DB,101,0)</f>
        <v>108.69637856</v>
      </c>
      <c r="D32" s="172">
        <v>80.305369220000003</v>
      </c>
      <c r="E32" s="172">
        <f t="shared" ref="E32:E34" si="5">F32+G32</f>
        <v>28.39100934</v>
      </c>
      <c r="F32" s="172">
        <v>0</v>
      </c>
      <c r="G32" s="172">
        <f>VLOOKUP($A$11,'[1]6.2. отчет'!$D:$FK,112,0)</f>
        <v>28.39100934</v>
      </c>
      <c r="H32" s="172">
        <v>0</v>
      </c>
      <c r="I32" s="172">
        <v>0</v>
      </c>
      <c r="J32" s="172">
        <f>VLOOKUP($A$11,'[1]6.2. отчет'!$D:$FK,132,0)</f>
        <v>0</v>
      </c>
      <c r="K32" s="172">
        <f>IF(J32=0,0,VLOOKUP($A$11,'[1]6.2. отчет'!$D:$FK,157,0))</f>
        <v>0</v>
      </c>
      <c r="M32" s="63"/>
      <c r="N32" s="63"/>
    </row>
    <row r="33" spans="1:14" x14ac:dyDescent="0.25">
      <c r="A33" s="49" t="s">
        <v>82</v>
      </c>
      <c r="B33" s="53" t="s">
        <v>81</v>
      </c>
      <c r="C33" s="172">
        <f>VLOOKUP($A$11,'[1]6.2. отчет'!$D:$DB,102,0)</f>
        <v>21.033837370000001</v>
      </c>
      <c r="D33" s="172">
        <v>5.66181337</v>
      </c>
      <c r="E33" s="172">
        <f t="shared" si="5"/>
        <v>15.372024</v>
      </c>
      <c r="F33" s="172">
        <v>0</v>
      </c>
      <c r="G33" s="172">
        <f>VLOOKUP($A$11,'[1]6.2. отчет'!$D:$FK,113,0)</f>
        <v>15.372024</v>
      </c>
      <c r="H33" s="172">
        <v>0</v>
      </c>
      <c r="I33" s="172">
        <v>0</v>
      </c>
      <c r="J33" s="172">
        <f>VLOOKUP($A$11,'[1]6.2. отчет'!$D:$FK,133,0)</f>
        <v>0</v>
      </c>
      <c r="K33" s="172">
        <f>IF(J33=0,0,VLOOKUP($A$11,'[1]6.2. отчет'!$D:$FK,158,0))</f>
        <v>0</v>
      </c>
      <c r="M33" s="63"/>
      <c r="N33" s="63"/>
    </row>
    <row r="34" spans="1:14" x14ac:dyDescent="0.25">
      <c r="A34" s="49" t="s">
        <v>80</v>
      </c>
      <c r="B34" s="53" t="s">
        <v>79</v>
      </c>
      <c r="C34" s="172">
        <f>VLOOKUP($A$11,'[1]6.2. отчет'!$D:$DB,103,0)</f>
        <v>16.90176979000001</v>
      </c>
      <c r="D34" s="172">
        <f>D30-D31-D32-D33</f>
        <v>60.664803129999989</v>
      </c>
      <c r="E34" s="172">
        <f t="shared" si="5"/>
        <v>11.287000260000001</v>
      </c>
      <c r="F34" s="172">
        <v>0</v>
      </c>
      <c r="G34" s="172">
        <f>VLOOKUP($A$11,'[1]6.2. отчет'!$D:$FK,114,0)</f>
        <v>11.287000260000001</v>
      </c>
      <c r="H34" s="172">
        <v>0</v>
      </c>
      <c r="I34" s="172">
        <v>0</v>
      </c>
      <c r="J34" s="172">
        <f>VLOOKUP($A$11,'[1]6.2. отчет'!$D:$FK,134,0)</f>
        <v>0</v>
      </c>
      <c r="K34" s="172">
        <f>IF(J34=0,0,VLOOKUP($A$11,'[1]6.2. отчет'!$D:$FK,159,0))</f>
        <v>0</v>
      </c>
      <c r="M34" s="63"/>
      <c r="N34" s="63"/>
    </row>
    <row r="35" spans="1:14" ht="31.5" x14ac:dyDescent="0.25">
      <c r="A35" s="49" t="s">
        <v>16</v>
      </c>
      <c r="B35" s="50" t="s">
        <v>78</v>
      </c>
      <c r="C35" s="172"/>
      <c r="D35" s="172"/>
      <c r="E35" s="172"/>
      <c r="F35" s="235"/>
      <c r="G35" s="172"/>
      <c r="H35" s="172"/>
      <c r="I35" s="54"/>
      <c r="J35" s="172"/>
      <c r="K35" s="54"/>
      <c r="M35" s="51"/>
    </row>
    <row r="36" spans="1:14" s="51" customFormat="1" ht="31.5" x14ac:dyDescent="0.25">
      <c r="A36" s="52" t="s">
        <v>77</v>
      </c>
      <c r="B36" s="66" t="s">
        <v>76</v>
      </c>
      <c r="C36" s="172">
        <f>IF('1. паспорт местоположение'!$C$22="Прочие инвестиционные проекты",0,VLOOKUP($A$11,'[1]6.2. отчет'!$D:$FX,168,0))</f>
        <v>0</v>
      </c>
      <c r="D36" s="223">
        <v>0</v>
      </c>
      <c r="E36" s="172">
        <f>F36+G36</f>
        <v>0</v>
      </c>
      <c r="F36" s="172">
        <f>C36-D36</f>
        <v>0</v>
      </c>
      <c r="G36" s="172">
        <v>0</v>
      </c>
      <c r="H36" s="172">
        <f>IF('1. паспорт местоположение'!$C$22="Прочие инвестиционные проекты",0,VLOOKUP($A$11,'[1]6.2. отчет'!$D:$AGO,191,0))</f>
        <v>0</v>
      </c>
      <c r="I36" s="172">
        <f>IF('1. паспорт местоположение'!$C$22="Прочие инвестиционные проекты",0,VLOOKUP($A$11,'[1]6.2. отчет'!$D:$AGO,246,0))</f>
        <v>0</v>
      </c>
      <c r="J36" s="172">
        <f>IF('1. паспорт местоположение'!$C$22="Прочие инвестиционные проекты",0,VLOOKUP($A$11,'[1]6.2. отчет'!$D:$AGO,257,0))</f>
        <v>0</v>
      </c>
      <c r="K36" s="172">
        <f>IF('1. паспорт местоположение'!$C$22="Прочие инвестиционные проекты",0,VLOOKUP($A$11,'[1]6.2. отчет'!$D:$AGO,312,0))</f>
        <v>0</v>
      </c>
    </row>
    <row r="37" spans="1:14" x14ac:dyDescent="0.25">
      <c r="A37" s="52" t="s">
        <v>75</v>
      </c>
      <c r="B37" s="66" t="s">
        <v>65</v>
      </c>
      <c r="C37" s="172">
        <f>IF('1. паспорт местоположение'!$C$22="Прочие инвестиционные проекты",0,VLOOKUP($A$11,'[1]6.2. отчет'!$D:$FX,169,0))</f>
        <v>7.2830000000000004</v>
      </c>
      <c r="D37" s="223">
        <f>VLOOKUP($A$11,'[1]6.2. отчет'!$D:$OZ,410,0)</f>
        <v>7.2830000000000004</v>
      </c>
      <c r="E37" s="172">
        <f t="shared" ref="E37:E42" si="6">F37+G37</f>
        <v>0</v>
      </c>
      <c r="F37" s="172">
        <f t="shared" ref="F37:F57" si="7">C37-D37</f>
        <v>0</v>
      </c>
      <c r="G37" s="172">
        <v>0</v>
      </c>
      <c r="H37" s="172">
        <f>IF('1. паспорт местоположение'!$C$22="Прочие инвестиционные проекты",0,VLOOKUP($A$11,'[1]6.2. отчет'!$D:$AGO,192,0))</f>
        <v>0</v>
      </c>
      <c r="I37" s="172">
        <f>IF('1. паспорт местоположение'!$C$22="Прочие инвестиционные проекты",0,VLOOKUP($A$11,'[1]6.2. отчет'!$D:$AGO,247,0))</f>
        <v>0</v>
      </c>
      <c r="J37" s="172">
        <f>IF('1. паспорт местоположение'!$C$22="Прочие инвестиционные проекты",0,VLOOKUP($A$11,'[1]6.2. отчет'!$D:$AGO,258,0))</f>
        <v>0</v>
      </c>
      <c r="K37" s="172">
        <f>IF('1. паспорт местоположение'!$C$22="Прочие инвестиционные проекты",0,VLOOKUP($A$11,'[1]6.2. отчет'!$D:$AGO,313,0))</f>
        <v>0</v>
      </c>
    </row>
    <row r="38" spans="1:14" x14ac:dyDescent="0.25">
      <c r="A38" s="52" t="s">
        <v>74</v>
      </c>
      <c r="B38" s="66" t="s">
        <v>63</v>
      </c>
      <c r="C38" s="172">
        <f>IF('1. паспорт местоположение'!$C$22="Прочие инвестиционные проекты",0,VLOOKUP($A$11,'[1]6.2. отчет'!$D:$FX,170,0))</f>
        <v>0</v>
      </c>
      <c r="D38" s="223">
        <f>VLOOKUP($A$11,'[1]6.2. отчет'!$D:$OZ,411,0)</f>
        <v>0</v>
      </c>
      <c r="E38" s="172">
        <f t="shared" si="6"/>
        <v>0</v>
      </c>
      <c r="F38" s="172">
        <f t="shared" si="7"/>
        <v>0</v>
      </c>
      <c r="G38" s="172">
        <v>0</v>
      </c>
      <c r="H38" s="172">
        <f>IF('1. паспорт местоположение'!$C$22="Прочие инвестиционные проекты",0,VLOOKUP($A$11,'[1]6.2. отчет'!$D:$AGO,193,0))</f>
        <v>0</v>
      </c>
      <c r="I38" s="172">
        <f>IF('1. паспорт местоположение'!$C$22="Прочие инвестиционные проекты",0,VLOOKUP($A$11,'[1]6.2. отчет'!$D:$AGO,248,0))</f>
        <v>0</v>
      </c>
      <c r="J38" s="172">
        <f>IF('1. паспорт местоположение'!$C$22="Прочие инвестиционные проекты",0,VLOOKUP($A$11,'[1]6.2. отчет'!$D:$AGO,259,0))</f>
        <v>0</v>
      </c>
      <c r="K38" s="172">
        <f>IF('1. паспорт местоположение'!$C$22="Прочие инвестиционные проекты",0,VLOOKUP($A$11,'[1]6.2. отчет'!$D:$AGO,314,0))</f>
        <v>0</v>
      </c>
    </row>
    <row r="39" spans="1:14" ht="31.5" x14ac:dyDescent="0.25">
      <c r="A39" s="52" t="s">
        <v>73</v>
      </c>
      <c r="B39" s="53" t="s">
        <v>61</v>
      </c>
      <c r="C39" s="172">
        <f>IF('1. паспорт местоположение'!$C$22="Прочие инвестиционные проекты",0,VLOOKUP($A$11,'[1]6.2. отчет'!$D:$FX,172,0))</f>
        <v>130.96</v>
      </c>
      <c r="D39" s="223">
        <f>VLOOKUP($A$11,'[1]6.2. отчет'!$D:$OZ,409,0)</f>
        <v>130.96</v>
      </c>
      <c r="E39" s="172">
        <f t="shared" si="6"/>
        <v>0</v>
      </c>
      <c r="F39" s="172">
        <f t="shared" si="7"/>
        <v>0</v>
      </c>
      <c r="G39" s="172">
        <v>0</v>
      </c>
      <c r="H39" s="172">
        <f>IF('1. паспорт местоположение'!$C$22="Прочие инвестиционные проекты",0,VLOOKUP($A$11,'[1]6.2. отчет'!$D:$AGO,195,0))</f>
        <v>0</v>
      </c>
      <c r="I39" s="172">
        <f>IF('1. паспорт местоположение'!$C$22="Прочие инвестиционные проекты",0,VLOOKUP($A$11,'[1]6.2. отчет'!$D:$AGO,250,0))</f>
        <v>0</v>
      </c>
      <c r="J39" s="172">
        <f>IF('1. паспорт местоположение'!$C$22="Прочие инвестиционные проекты",0,VLOOKUP($A$11,'[1]6.2. отчет'!$D:$AGO,261,0))</f>
        <v>0</v>
      </c>
      <c r="K39" s="172">
        <f>IF('1. паспорт местоположение'!$C$22="Прочие инвестиционные проекты",0,VLOOKUP($A$11,'[1]6.2. отчет'!$D:$AGO,316,0))</f>
        <v>0</v>
      </c>
    </row>
    <row r="40" spans="1:14" ht="31.5" x14ac:dyDescent="0.25">
      <c r="A40" s="52" t="s">
        <v>72</v>
      </c>
      <c r="B40" s="53" t="s">
        <v>59</v>
      </c>
      <c r="C40" s="172">
        <f>IF('1. паспорт местоположение'!$C$22="Прочие инвестиционные проекты",0,VLOOKUP($A$11,'[1]6.2. отчет'!$D:$FX,173,0))</f>
        <v>0</v>
      </c>
      <c r="D40" s="223">
        <v>0</v>
      </c>
      <c r="E40" s="172">
        <f t="shared" si="6"/>
        <v>0</v>
      </c>
      <c r="F40" s="172">
        <f t="shared" si="7"/>
        <v>0</v>
      </c>
      <c r="G40" s="172">
        <v>0</v>
      </c>
      <c r="H40" s="172">
        <f>IF('1. паспорт местоположение'!$C$22="Прочие инвестиционные проекты",0,VLOOKUP($A$11,'[1]6.2. отчет'!$D:$AGO,196,0))</f>
        <v>0</v>
      </c>
      <c r="I40" s="172">
        <f>IF('1. паспорт местоположение'!$C$22="Прочие инвестиционные проекты",0,VLOOKUP($A$11,'[1]6.2. отчет'!$D:$AGO,251,0))</f>
        <v>0</v>
      </c>
      <c r="J40" s="172">
        <f>IF('1. паспорт местоположение'!$C$22="Прочие инвестиционные проекты",0,VLOOKUP($A$11,'[1]6.2. отчет'!$D:$AGO,262,0))</f>
        <v>0</v>
      </c>
      <c r="K40" s="172">
        <f>IF('1. паспорт местоположение'!$C$22="Прочие инвестиционные проекты",0,VLOOKUP($A$11,'[1]6.2. отчет'!$D:$AGO,317,0))</f>
        <v>0</v>
      </c>
    </row>
    <row r="41" spans="1:14" x14ac:dyDescent="0.25">
      <c r="A41" s="52" t="s">
        <v>71</v>
      </c>
      <c r="B41" s="53" t="s">
        <v>57</v>
      </c>
      <c r="C41" s="172">
        <f>IF('1. паспорт местоположение'!$C$22="Прочие инвестиционные проекты",0,VLOOKUP($A$11,'[1]6.2. отчет'!$D:$FX,174,0))</f>
        <v>0</v>
      </c>
      <c r="D41" s="223">
        <v>0</v>
      </c>
      <c r="E41" s="172">
        <f t="shared" si="6"/>
        <v>0</v>
      </c>
      <c r="F41" s="172">
        <f t="shared" si="7"/>
        <v>0</v>
      </c>
      <c r="G41" s="172">
        <v>0</v>
      </c>
      <c r="H41" s="172">
        <f>IF('1. паспорт местоположение'!$C$22="Прочие инвестиционные проекты",0,VLOOKUP($A$11,'[1]6.2. отчет'!$D:$AGO,197,0))</f>
        <v>0</v>
      </c>
      <c r="I41" s="172">
        <f>IF('1. паспорт местоположение'!$C$22="Прочие инвестиционные проекты",0,VLOOKUP($A$11,'[1]6.2. отчет'!$D:$AGO,252,0))</f>
        <v>0</v>
      </c>
      <c r="J41" s="172">
        <f>IF('1. паспорт местоположение'!$C$22="Прочие инвестиционные проекты",0,VLOOKUP($A$11,'[1]6.2. отчет'!$D:$AGO,263,0))</f>
        <v>0</v>
      </c>
      <c r="K41" s="172">
        <f>IF('1. паспорт местоположение'!$C$22="Прочие инвестиционные проекты",0,VLOOKUP($A$11,'[1]6.2. отчет'!$D:$AGO,318,0))</f>
        <v>0</v>
      </c>
    </row>
    <row r="42" spans="1:14" x14ac:dyDescent="0.25">
      <c r="A42" s="52" t="s">
        <v>70</v>
      </c>
      <c r="B42" s="66" t="s">
        <v>450</v>
      </c>
      <c r="C42" s="172">
        <f>IF('1. паспорт местоположение'!$C$22="Прочие инвестиционные проекты",0,VLOOKUP($A$11,'[1]6.2. отчет'!$D:$FX,177,0))</f>
        <v>0</v>
      </c>
      <c r="D42" s="223">
        <f>VLOOKUP($A$11,'[1]6.2. отчет'!$D:$OZ,412,0)</f>
        <v>0</v>
      </c>
      <c r="E42" s="172">
        <f t="shared" si="6"/>
        <v>0</v>
      </c>
      <c r="F42" s="172">
        <f t="shared" si="7"/>
        <v>0</v>
      </c>
      <c r="G42" s="172">
        <v>0</v>
      </c>
      <c r="H42" s="172">
        <f>IF('1. паспорт местоположение'!$C$22="Прочие инвестиционные проекты",0,VLOOKUP($A$11,'[1]6.2. отчет'!$D:$AGO,200,0))</f>
        <v>0</v>
      </c>
      <c r="I42" s="172">
        <f>IF('1. паспорт местоположение'!$C$22="Прочие инвестиционные проекты",0,VLOOKUP($A$11,'[1]6.2. отчет'!$D:$AGO,255,0))</f>
        <v>0</v>
      </c>
      <c r="J42" s="172">
        <f>IF('1. паспорт местоположение'!$C$22="Прочие инвестиционные проекты",0,VLOOKUP($A$11,'[1]6.2. отчет'!$D:$AGO,266,0))</f>
        <v>0</v>
      </c>
      <c r="K42" s="172">
        <f>IF('1. паспорт местоположение'!$C$22="Прочие инвестиционные проекты",0,VLOOKUP($A$11,'[1]6.2. отчет'!$D:$AGO,321,0))</f>
        <v>0</v>
      </c>
    </row>
    <row r="43" spans="1:14" x14ac:dyDescent="0.25">
      <c r="A43" s="49" t="s">
        <v>15</v>
      </c>
      <c r="B43" s="50" t="s">
        <v>69</v>
      </c>
      <c r="C43" s="172"/>
      <c r="D43" s="223"/>
      <c r="E43" s="172"/>
      <c r="F43" s="172"/>
      <c r="G43" s="172"/>
      <c r="H43" s="172"/>
      <c r="I43" s="54"/>
      <c r="J43" s="172"/>
      <c r="K43" s="54"/>
    </row>
    <row r="44" spans="1:14" s="51" customFormat="1" x14ac:dyDescent="0.25">
      <c r="A44" s="52" t="s">
        <v>68</v>
      </c>
      <c r="B44" s="53" t="s">
        <v>67</v>
      </c>
      <c r="C44" s="172">
        <f>VLOOKUP($A$11,'[1]6.2. отчет'!$D:$FX,168,0)</f>
        <v>0</v>
      </c>
      <c r="D44" s="223">
        <v>0</v>
      </c>
      <c r="E44" s="172">
        <f t="shared" ref="E44:E50" si="8">F44+G44</f>
        <v>0</v>
      </c>
      <c r="F44" s="172">
        <f t="shared" si="7"/>
        <v>0</v>
      </c>
      <c r="G44" s="172">
        <f>VLOOKUP($A$11,'[1]6.2. отчет'!$D:$GJ,180,0)</f>
        <v>0</v>
      </c>
      <c r="H44" s="172">
        <f>VLOOKUP($A$11,'[1]6.2. отчет'!$D:$AGO,191,0)</f>
        <v>0</v>
      </c>
      <c r="I44" s="172">
        <f>VLOOKUP($A$11,'[1]6.2. отчет'!$D:$AGO,246,0)</f>
        <v>0</v>
      </c>
      <c r="J44" s="172">
        <f>VLOOKUP($A$11,'[1]6.2. отчет'!$D:$AGO,257,0)</f>
        <v>0</v>
      </c>
      <c r="K44" s="172">
        <f>VLOOKUP($A$11,'[1]6.2. отчет'!$D:$AGO,312,0)</f>
        <v>0</v>
      </c>
    </row>
    <row r="45" spans="1:14" x14ac:dyDescent="0.25">
      <c r="A45" s="52" t="s">
        <v>66</v>
      </c>
      <c r="B45" s="53" t="s">
        <v>65</v>
      </c>
      <c r="C45" s="172">
        <f>VLOOKUP($A$11,'[1]6.2. отчет'!$D:$FX,169,0)</f>
        <v>7.2830000000000004</v>
      </c>
      <c r="D45" s="223">
        <f>VLOOKUP($A$11,'[1]6.2. отчет'!$D:$OZ,410,0)</f>
        <v>7.2830000000000004</v>
      </c>
      <c r="E45" s="172">
        <f t="shared" si="8"/>
        <v>7.2830000000000004</v>
      </c>
      <c r="F45" s="172">
        <f t="shared" si="7"/>
        <v>0</v>
      </c>
      <c r="G45" s="172">
        <f>VLOOKUP($A$11,'[1]6.2. отчет'!$D:$GJ,181,0)</f>
        <v>7.2830000000000004</v>
      </c>
      <c r="H45" s="172">
        <f>VLOOKUP($A$11,'[1]6.2. отчет'!$D:$AGO,192,0)</f>
        <v>0</v>
      </c>
      <c r="I45" s="172">
        <f>VLOOKUP($A$11,'[1]6.2. отчет'!$D:$AGO,247,0)</f>
        <v>0</v>
      </c>
      <c r="J45" s="172">
        <f>VLOOKUP($A$11,'[1]6.2. отчет'!$D:$AGO,258,0)</f>
        <v>0</v>
      </c>
      <c r="K45" s="172">
        <f>VLOOKUP($A$11,'[1]6.2. отчет'!$D:$AGO,313,0)</f>
        <v>0</v>
      </c>
    </row>
    <row r="46" spans="1:14" x14ac:dyDescent="0.25">
      <c r="A46" s="52" t="s">
        <v>64</v>
      </c>
      <c r="B46" s="53" t="s">
        <v>63</v>
      </c>
      <c r="C46" s="172">
        <f>VLOOKUP($A$11,'[1]6.2. отчет'!$D:$FX,170,0)</f>
        <v>0</v>
      </c>
      <c r="D46" s="223">
        <f>VLOOKUP($A$11,'[1]6.2. отчет'!$D:$OZ,411,0)</f>
        <v>0</v>
      </c>
      <c r="E46" s="172">
        <f t="shared" si="8"/>
        <v>0</v>
      </c>
      <c r="F46" s="172">
        <f t="shared" si="7"/>
        <v>0</v>
      </c>
      <c r="G46" s="172">
        <f>VLOOKUP($A$11,'[1]6.2. отчет'!$D:$GJ,182,0)</f>
        <v>0</v>
      </c>
      <c r="H46" s="172">
        <f>VLOOKUP($A$11,'[1]6.2. отчет'!$D:$AGO,193,0)</f>
        <v>0</v>
      </c>
      <c r="I46" s="172">
        <f>VLOOKUP($A$11,'[1]6.2. отчет'!$D:$AGO,248,0)</f>
        <v>0</v>
      </c>
      <c r="J46" s="172">
        <f>VLOOKUP($A$11,'[1]6.2. отчет'!$D:$AGO,259,0)</f>
        <v>0</v>
      </c>
      <c r="K46" s="172">
        <f>VLOOKUP($A$11,'[1]6.2. отчет'!$D:$AGO,314,0)</f>
        <v>0</v>
      </c>
    </row>
    <row r="47" spans="1:14" ht="31.5" x14ac:dyDescent="0.25">
      <c r="A47" s="52" t="s">
        <v>62</v>
      </c>
      <c r="B47" s="53" t="s">
        <v>61</v>
      </c>
      <c r="C47" s="172">
        <f>VLOOKUP($A$11,'[1]6.2. отчет'!$D:$FX,172,0)</f>
        <v>130.96</v>
      </c>
      <c r="D47" s="223">
        <f>VLOOKUP($A$11,'[1]6.2. отчет'!$D:$OZ,409,0)</f>
        <v>130.96</v>
      </c>
      <c r="E47" s="172">
        <f t="shared" si="8"/>
        <v>130.96</v>
      </c>
      <c r="F47" s="172">
        <f t="shared" si="7"/>
        <v>0</v>
      </c>
      <c r="G47" s="172">
        <f>VLOOKUP($A$11,'[1]6.2. отчет'!$D:$GJ,184,0)</f>
        <v>130.96</v>
      </c>
      <c r="H47" s="172">
        <f>VLOOKUP($A$11,'[1]6.2. отчет'!$D:$AGO,195,0)</f>
        <v>0</v>
      </c>
      <c r="I47" s="172">
        <f>VLOOKUP($A$11,'[1]6.2. отчет'!$D:$AGO,250,0)</f>
        <v>0</v>
      </c>
      <c r="J47" s="172">
        <f>VLOOKUP($A$11,'[1]6.2. отчет'!$D:$AGO,261,0)</f>
        <v>0</v>
      </c>
      <c r="K47" s="172">
        <f>VLOOKUP($A$11,'[1]6.2. отчет'!$D:$AGO,316,0)</f>
        <v>0</v>
      </c>
    </row>
    <row r="48" spans="1:14" ht="31.5" x14ac:dyDescent="0.25">
      <c r="A48" s="52" t="s">
        <v>60</v>
      </c>
      <c r="B48" s="53" t="s">
        <v>59</v>
      </c>
      <c r="C48" s="172">
        <f>VLOOKUP($A$11,'[1]6.2. отчет'!$D:$FX,173,0)</f>
        <v>0</v>
      </c>
      <c r="D48" s="223">
        <v>0</v>
      </c>
      <c r="E48" s="172">
        <f t="shared" si="8"/>
        <v>0</v>
      </c>
      <c r="F48" s="172">
        <f t="shared" si="7"/>
        <v>0</v>
      </c>
      <c r="G48" s="172">
        <f>VLOOKUP($A$11,'[1]6.2. отчет'!$D:$GJ,185,0)</f>
        <v>0</v>
      </c>
      <c r="H48" s="172">
        <f>VLOOKUP($A$11,'[1]6.2. отчет'!$D:$AGO,196,0)</f>
        <v>0</v>
      </c>
      <c r="I48" s="172">
        <f>VLOOKUP($A$11,'[1]6.2. отчет'!$D:$AGO,251,0)</f>
        <v>0</v>
      </c>
      <c r="J48" s="172">
        <f>VLOOKUP($A$11,'[1]6.2. отчет'!$D:$AGO,262,0)</f>
        <v>0</v>
      </c>
      <c r="K48" s="172">
        <f>VLOOKUP($A$11,'[1]6.2. отчет'!$D:$AGO,317,0)</f>
        <v>0</v>
      </c>
    </row>
    <row r="49" spans="1:11" x14ac:dyDescent="0.25">
      <c r="A49" s="52" t="s">
        <v>58</v>
      </c>
      <c r="B49" s="53" t="s">
        <v>57</v>
      </c>
      <c r="C49" s="172">
        <f>VLOOKUP($A$11,'[1]6.2. отчет'!$D:$FX,174,0)</f>
        <v>0</v>
      </c>
      <c r="D49" s="223">
        <v>0</v>
      </c>
      <c r="E49" s="172">
        <f t="shared" si="8"/>
        <v>0</v>
      </c>
      <c r="F49" s="172">
        <f t="shared" si="7"/>
        <v>0</v>
      </c>
      <c r="G49" s="172">
        <f>VLOOKUP($A$11,'[1]6.2. отчет'!$D:$GJ,186,0)</f>
        <v>0</v>
      </c>
      <c r="H49" s="172">
        <f>VLOOKUP($A$11,'[1]6.2. отчет'!$D:$AGO,197,0)</f>
        <v>0</v>
      </c>
      <c r="I49" s="172">
        <f>VLOOKUP($A$11,'[1]6.2. отчет'!$D:$AGO,252,0)</f>
        <v>0</v>
      </c>
      <c r="J49" s="172">
        <f>VLOOKUP($A$11,'[1]6.2. отчет'!$D:$AGO,263,0)</f>
        <v>0</v>
      </c>
      <c r="K49" s="172">
        <f>VLOOKUP($A$11,'[1]6.2. отчет'!$D:$AGO,318,0)</f>
        <v>0</v>
      </c>
    </row>
    <row r="50" spans="1:11" x14ac:dyDescent="0.25">
      <c r="A50" s="52" t="s">
        <v>56</v>
      </c>
      <c r="B50" s="53" t="s">
        <v>450</v>
      </c>
      <c r="C50" s="172">
        <f>VLOOKUP($A$11,'[1]6.2. отчет'!$D:$FX,177,0)</f>
        <v>0</v>
      </c>
      <c r="D50" s="223">
        <f>VLOOKUP($A$11,'[1]6.2. отчет'!$D:$OZ,412,0)</f>
        <v>0</v>
      </c>
      <c r="E50" s="172">
        <f t="shared" si="8"/>
        <v>0</v>
      </c>
      <c r="F50" s="172">
        <f t="shared" si="7"/>
        <v>0</v>
      </c>
      <c r="G50" s="172">
        <f>VLOOKUP($A$11,'[1]6.2. отчет'!$D:$GJ,189,0)</f>
        <v>0</v>
      </c>
      <c r="H50" s="172">
        <f>VLOOKUP($A$11,'[1]6.2. отчет'!$D:$AGO,200,0)</f>
        <v>0</v>
      </c>
      <c r="I50" s="172">
        <f>VLOOKUP($A$11,'[1]6.2. отчет'!$D:$AGO,255,0)</f>
        <v>0</v>
      </c>
      <c r="J50" s="172">
        <f>VLOOKUP($A$11,'[1]6.2. отчет'!$D:$AGO,266,0)</f>
        <v>0</v>
      </c>
      <c r="K50" s="172">
        <f>VLOOKUP($A$11,'[1]6.2. отчет'!$D:$AGO,321,0)</f>
        <v>0</v>
      </c>
    </row>
    <row r="51" spans="1:11" s="51" customFormat="1" ht="35.25" customHeight="1" x14ac:dyDescent="0.25">
      <c r="A51" s="49" t="s">
        <v>13</v>
      </c>
      <c r="B51" s="50" t="s">
        <v>55</v>
      </c>
      <c r="C51" s="172"/>
      <c r="D51" s="223"/>
      <c r="E51" s="172"/>
      <c r="F51" s="172"/>
      <c r="G51" s="172"/>
      <c r="H51" s="172"/>
      <c r="I51" s="54"/>
      <c r="J51" s="172"/>
      <c r="K51" s="54"/>
    </row>
    <row r="52" spans="1:11" x14ac:dyDescent="0.25">
      <c r="A52" s="52" t="s">
        <v>54</v>
      </c>
      <c r="B52" s="53" t="s">
        <v>53</v>
      </c>
      <c r="C52" s="172">
        <f>VLOOKUP($A$11,'[1]6.2. отчет'!$D:$FX,167,0)</f>
        <v>158.85003632999999</v>
      </c>
      <c r="D52" s="223">
        <f>VLOOKUP($A$11,'[1]6.2. отчет'!$D:$OZ,413,0)</f>
        <v>158.85003633000002</v>
      </c>
      <c r="E52" s="172">
        <f t="shared" ref="E52:E57" si="9">F52+G52</f>
        <v>158.85003633000002</v>
      </c>
      <c r="F52" s="172">
        <f t="shared" si="7"/>
        <v>0</v>
      </c>
      <c r="G52" s="172">
        <f>VLOOKUP($A$11,'[1]6.2. отчет'!$D:$GJ,179,0)</f>
        <v>158.85003633000002</v>
      </c>
      <c r="H52" s="172">
        <f>VLOOKUP($A$11,'[1]6.2. отчет'!$D:$AGO,190,0)</f>
        <v>0</v>
      </c>
      <c r="I52" s="172">
        <f>VLOOKUP($A$11,'[1]6.2. отчет'!$D:$AGO,245,0)</f>
        <v>0</v>
      </c>
      <c r="J52" s="172">
        <f>VLOOKUP($A$11,'[1]6.2. отчет'!$D:$AGO,256,0)</f>
        <v>0</v>
      </c>
      <c r="K52" s="172">
        <f>VLOOKUP($A$11,'[1]6.2. отчет'!$D:$AGO,311,0)</f>
        <v>0</v>
      </c>
    </row>
    <row r="53" spans="1:11" x14ac:dyDescent="0.25">
      <c r="A53" s="52" t="s">
        <v>52</v>
      </c>
      <c r="B53" s="53" t="s">
        <v>46</v>
      </c>
      <c r="C53" s="172">
        <f>VLOOKUP($A$11,'[1]6.2. отчет'!$D:$FX,168,0)</f>
        <v>0</v>
      </c>
      <c r="D53" s="223">
        <v>0</v>
      </c>
      <c r="E53" s="172">
        <f t="shared" si="9"/>
        <v>0</v>
      </c>
      <c r="F53" s="172">
        <f t="shared" si="7"/>
        <v>0</v>
      </c>
      <c r="G53" s="172">
        <f>VLOOKUP($A$11,'[1]6.2. отчет'!$D:$GJ,180,0)</f>
        <v>0</v>
      </c>
      <c r="H53" s="172">
        <f>VLOOKUP($A$11,'[1]6.2. отчет'!$D:$AGO,191,0)</f>
        <v>0</v>
      </c>
      <c r="I53" s="172">
        <f>VLOOKUP($A$11,'[1]6.2. отчет'!$D:$AGO,246,0)</f>
        <v>0</v>
      </c>
      <c r="J53" s="172">
        <f>VLOOKUP($A$11,'[1]6.2. отчет'!$D:$AGO,257,0)</f>
        <v>0</v>
      </c>
      <c r="K53" s="172">
        <f>VLOOKUP($A$11,'[1]6.2. отчет'!$D:$AGO,312,0)</f>
        <v>0</v>
      </c>
    </row>
    <row r="54" spans="1:11" x14ac:dyDescent="0.25">
      <c r="A54" s="52" t="s">
        <v>51</v>
      </c>
      <c r="B54" s="66" t="s">
        <v>45</v>
      </c>
      <c r="C54" s="172">
        <f>VLOOKUP($A$11,'[1]6.2. отчет'!$D:$FX,169,0)</f>
        <v>7.2830000000000004</v>
      </c>
      <c r="D54" s="223">
        <f>VLOOKUP($A$11,'[1]6.2. отчет'!$D:$OZ,410,0)</f>
        <v>7.2830000000000004</v>
      </c>
      <c r="E54" s="172">
        <f t="shared" si="9"/>
        <v>7.2830000000000004</v>
      </c>
      <c r="F54" s="172">
        <f t="shared" si="7"/>
        <v>0</v>
      </c>
      <c r="G54" s="172">
        <f>VLOOKUP($A$11,'[1]6.2. отчет'!$D:$GJ,181,0)</f>
        <v>7.2830000000000004</v>
      </c>
      <c r="H54" s="172">
        <f>VLOOKUP($A$11,'[1]6.2. отчет'!$D:$AGO,192,0)</f>
        <v>0</v>
      </c>
      <c r="I54" s="172">
        <f>VLOOKUP($A$11,'[1]6.2. отчет'!$D:$AGO,247,0)</f>
        <v>0</v>
      </c>
      <c r="J54" s="172">
        <f>VLOOKUP($A$11,'[1]6.2. отчет'!$D:$AGO,258,0)</f>
        <v>0</v>
      </c>
      <c r="K54" s="172">
        <f>VLOOKUP($A$11,'[1]6.2. отчет'!$D:$AGO,313,0)</f>
        <v>0</v>
      </c>
    </row>
    <row r="55" spans="1:11" x14ac:dyDescent="0.25">
      <c r="A55" s="52" t="s">
        <v>50</v>
      </c>
      <c r="B55" s="66" t="s">
        <v>44</v>
      </c>
      <c r="C55" s="172">
        <f>VLOOKUP($A$11,'[1]6.2. отчет'!$D:$FX,170,0)</f>
        <v>0</v>
      </c>
      <c r="D55" s="223">
        <f>VLOOKUP($A$11,'[1]6.2. отчет'!$D:$OZ,411,0)</f>
        <v>0</v>
      </c>
      <c r="E55" s="172">
        <f t="shared" si="9"/>
        <v>0</v>
      </c>
      <c r="F55" s="172">
        <f t="shared" si="7"/>
        <v>0</v>
      </c>
      <c r="G55" s="172">
        <f>VLOOKUP($A$11,'[1]6.2. отчет'!$D:$GJ,182,0)</f>
        <v>0</v>
      </c>
      <c r="H55" s="172">
        <f>VLOOKUP($A$11,'[1]6.2. отчет'!$D:$AGO,193,0)</f>
        <v>0</v>
      </c>
      <c r="I55" s="172">
        <f>VLOOKUP($A$11,'[1]6.2. отчет'!$D:$AGO,248,0)</f>
        <v>0</v>
      </c>
      <c r="J55" s="172">
        <f>VLOOKUP($A$11,'[1]6.2. отчет'!$D:$AGO,259,0)</f>
        <v>0</v>
      </c>
      <c r="K55" s="172">
        <f>VLOOKUP($A$11,'[1]6.2. отчет'!$D:$AGO,314,0)</f>
        <v>0</v>
      </c>
    </row>
    <row r="56" spans="1:11" x14ac:dyDescent="0.25">
      <c r="A56" s="52" t="s">
        <v>49</v>
      </c>
      <c r="B56" s="66" t="s">
        <v>43</v>
      </c>
      <c r="C56" s="172">
        <f>VLOOKUP($A$11,'[1]6.2. отчет'!$D:$FX,171,0)</f>
        <v>130.96</v>
      </c>
      <c r="D56" s="223">
        <f>VLOOKUP($A$11,'[1]6.2. отчет'!$D:$OZ,409,0)</f>
        <v>130.96</v>
      </c>
      <c r="E56" s="172">
        <f t="shared" si="9"/>
        <v>130.96</v>
      </c>
      <c r="F56" s="172">
        <f t="shared" si="7"/>
        <v>0</v>
      </c>
      <c r="G56" s="172">
        <f>VLOOKUP($A$11,'[1]6.2. отчет'!$D:$GJ,183,0)</f>
        <v>130.96</v>
      </c>
      <c r="H56" s="172">
        <f>VLOOKUP($A$11,'[1]6.2. отчет'!$D:$AGO,194,0)</f>
        <v>0</v>
      </c>
      <c r="I56" s="172">
        <f>VLOOKUP($A$11,'[1]6.2. отчет'!$D:$AGO,249,0)</f>
        <v>0</v>
      </c>
      <c r="J56" s="172">
        <f>VLOOKUP($A$11,'[1]6.2. отчет'!$D:$AGO,260,0)</f>
        <v>0</v>
      </c>
      <c r="K56" s="172">
        <f>VLOOKUP($A$11,'[1]6.2. отчет'!$D:$AGO,315,0)</f>
        <v>0</v>
      </c>
    </row>
    <row r="57" spans="1:11" x14ac:dyDescent="0.25">
      <c r="A57" s="52" t="s">
        <v>48</v>
      </c>
      <c r="B57" s="53" t="s">
        <v>450</v>
      </c>
      <c r="C57" s="172">
        <f>VLOOKUP($A$11,'[1]6.2. отчет'!$D:$FX,177,0)</f>
        <v>0</v>
      </c>
      <c r="D57" s="223">
        <f>VLOOKUP($A$11,'[1]6.2. отчет'!$D:$OZ,412,0)</f>
        <v>0</v>
      </c>
      <c r="E57" s="172">
        <f t="shared" si="9"/>
        <v>0</v>
      </c>
      <c r="F57" s="172">
        <f t="shared" si="7"/>
        <v>0</v>
      </c>
      <c r="G57" s="172">
        <f>VLOOKUP($A$11,'[1]6.2. отчет'!$D:$GJ,189,0)</f>
        <v>0</v>
      </c>
      <c r="H57" s="172">
        <f>VLOOKUP($A$11,'[1]6.2. отчет'!$D:$AGO,200,0)</f>
        <v>0</v>
      </c>
      <c r="I57" s="172">
        <f>VLOOKUP($A$11,'[1]6.2. отчет'!$D:$AGO,255,0)</f>
        <v>0</v>
      </c>
      <c r="J57" s="172">
        <f>VLOOKUP($A$11,'[1]6.2. отчет'!$D:$AGO,266,0)</f>
        <v>0</v>
      </c>
      <c r="K57" s="172">
        <f>VLOOKUP($A$11,'[1]6.2. отчет'!$D:$AGO,321,0)</f>
        <v>0</v>
      </c>
    </row>
    <row r="58" spans="1:11" s="51" customFormat="1" ht="31.5" x14ac:dyDescent="0.25">
      <c r="A58" s="49" t="s">
        <v>12</v>
      </c>
      <c r="B58" s="56" t="s">
        <v>141</v>
      </c>
      <c r="C58" s="172"/>
      <c r="D58" s="172"/>
      <c r="E58" s="172"/>
      <c r="F58" s="172"/>
      <c r="G58" s="172"/>
      <c r="H58" s="172"/>
      <c r="I58" s="54"/>
      <c r="J58" s="172"/>
      <c r="K58" s="54"/>
    </row>
    <row r="59" spans="1:11" x14ac:dyDescent="0.25">
      <c r="A59" s="49" t="s">
        <v>10</v>
      </c>
      <c r="B59" s="50" t="s">
        <v>47</v>
      </c>
      <c r="C59" s="172"/>
      <c r="D59" s="172"/>
      <c r="E59" s="172"/>
      <c r="F59" s="172"/>
      <c r="G59" s="172"/>
      <c r="H59" s="172"/>
      <c r="I59" s="54"/>
      <c r="J59" s="172"/>
      <c r="K59" s="54"/>
    </row>
    <row r="60" spans="1:11" x14ac:dyDescent="0.25">
      <c r="A60" s="52" t="s">
        <v>135</v>
      </c>
      <c r="B60" s="67" t="s">
        <v>67</v>
      </c>
      <c r="C60" s="172">
        <f>VLOOKUP($A$11,'[1]6.2. отчет'!$D:$AGO,326,0)</f>
        <v>0</v>
      </c>
      <c r="D60" s="172">
        <v>0</v>
      </c>
      <c r="E60" s="172">
        <f t="shared" ref="E60:E64" si="10">F60</f>
        <v>0</v>
      </c>
      <c r="F60" s="172">
        <f t="shared" ref="F60:F64" si="11">C60</f>
        <v>0</v>
      </c>
      <c r="G60" s="172">
        <f>VLOOKUP($A$11,'[1]6.2. отчет'!$D:$AGO,333,0)</f>
        <v>0</v>
      </c>
      <c r="H60" s="172">
        <f>VLOOKUP($A$11,'[1]6.2. отчет'!$D:$AGO,341,0)</f>
        <v>0</v>
      </c>
      <c r="I60" s="172">
        <f>VLOOKUP($A$11,'[1]6.2. отчет'!$D:$AGO,366,0)</f>
        <v>0</v>
      </c>
      <c r="J60" s="172">
        <f>VLOOKUP($A$11,'[1]6.2. отчет'!$D:$AGO,371,0)</f>
        <v>0</v>
      </c>
      <c r="K60" s="172">
        <f>VLOOKUP($A$11,'[1]6.2. отчет'!$D:$AGO,396,0)</f>
        <v>0</v>
      </c>
    </row>
    <row r="61" spans="1:11" x14ac:dyDescent="0.25">
      <c r="A61" s="52" t="s">
        <v>136</v>
      </c>
      <c r="B61" s="67" t="s">
        <v>65</v>
      </c>
      <c r="C61" s="172">
        <f>VLOOKUP($A$11,'[1]6.2. отчет'!$D:$AGO,327,0)</f>
        <v>0</v>
      </c>
      <c r="D61" s="172">
        <v>0</v>
      </c>
      <c r="E61" s="172">
        <f t="shared" si="10"/>
        <v>0</v>
      </c>
      <c r="F61" s="172">
        <f t="shared" si="11"/>
        <v>0</v>
      </c>
      <c r="G61" s="172">
        <f>VLOOKUP($A$11,'[1]6.2. отчет'!$D:$AGO,334,0)</f>
        <v>0</v>
      </c>
      <c r="H61" s="172">
        <f>VLOOKUP($A$11,'[1]6.2. отчет'!$D:$AGO,338,0)</f>
        <v>0</v>
      </c>
      <c r="I61" s="172">
        <f>VLOOKUP($A$11,'[1]6.2. отчет'!$D:$AGO,363,0)</f>
        <v>0</v>
      </c>
      <c r="J61" s="172">
        <f>VLOOKUP($A$11,'[1]6.2. отчет'!$D:$AGO,368,0)</f>
        <v>0</v>
      </c>
      <c r="K61" s="172">
        <f>VLOOKUP($A$11,'[1]6.2. отчет'!$D:$AGO,393,0)</f>
        <v>0</v>
      </c>
    </row>
    <row r="62" spans="1:11" x14ac:dyDescent="0.25">
      <c r="A62" s="52" t="s">
        <v>137</v>
      </c>
      <c r="B62" s="67" t="s">
        <v>63</v>
      </c>
      <c r="C62" s="172">
        <f>VLOOKUP($A$11,'[1]6.2. отчет'!$D:$AGO,328,0)</f>
        <v>0</v>
      </c>
      <c r="D62" s="172">
        <v>0</v>
      </c>
      <c r="E62" s="172">
        <f t="shared" si="10"/>
        <v>0</v>
      </c>
      <c r="F62" s="172">
        <f t="shared" si="11"/>
        <v>0</v>
      </c>
      <c r="G62" s="172">
        <f>VLOOKUP($A$11,'[1]6.2. отчет'!$D:$AGO,335,0)</f>
        <v>0</v>
      </c>
      <c r="H62" s="172">
        <f>VLOOKUP($A$11,'[1]6.2. отчет'!$D:$AGO,339,0)</f>
        <v>0</v>
      </c>
      <c r="I62" s="172">
        <f>VLOOKUP($A$11,'[1]6.2. отчет'!$D:$AGO,364,0)</f>
        <v>0</v>
      </c>
      <c r="J62" s="172">
        <f>VLOOKUP($A$11,'[1]6.2. отчет'!$D:$AGO,369,0)</f>
        <v>0</v>
      </c>
      <c r="K62" s="172">
        <f>VLOOKUP($A$11,'[1]6.2. отчет'!$D:$AGO,394,0)</f>
        <v>0</v>
      </c>
    </row>
    <row r="63" spans="1:11" x14ac:dyDescent="0.25">
      <c r="A63" s="52" t="s">
        <v>138</v>
      </c>
      <c r="B63" s="67" t="s">
        <v>140</v>
      </c>
      <c r="C63" s="172">
        <f>VLOOKUP($A$11,'[1]6.2. отчет'!$D:$AGO,329,0)</f>
        <v>0</v>
      </c>
      <c r="D63" s="172">
        <v>0</v>
      </c>
      <c r="E63" s="172">
        <f t="shared" si="10"/>
        <v>0</v>
      </c>
      <c r="F63" s="172">
        <f t="shared" si="11"/>
        <v>0</v>
      </c>
      <c r="G63" s="172">
        <f>VLOOKUP($A$11,'[1]6.2. отчет'!$D:$AGO,336,0)</f>
        <v>0</v>
      </c>
      <c r="H63" s="172">
        <f>VLOOKUP($A$11,'[1]6.2. отчет'!$D:$AGO,340,0)</f>
        <v>0</v>
      </c>
      <c r="I63" s="172">
        <f>VLOOKUP($A$11,'[1]6.2. отчет'!$D:$AGO,365,0)</f>
        <v>0</v>
      </c>
      <c r="J63" s="172">
        <f>VLOOKUP($A$11,'[1]6.2. отчет'!$D:$AGO,370,0)</f>
        <v>0</v>
      </c>
      <c r="K63" s="172">
        <f>VLOOKUP($A$11,'[1]6.2. отчет'!$D:$AGO,395,0)</f>
        <v>0</v>
      </c>
    </row>
    <row r="64" spans="1:11" ht="18.75" x14ac:dyDescent="0.25">
      <c r="A64" s="52" t="s">
        <v>139</v>
      </c>
      <c r="B64" s="66" t="s">
        <v>42</v>
      </c>
      <c r="C64" s="172">
        <f>VLOOKUP($A$11,'[1]6.2. отчет'!$D:$AGO,330,0)</f>
        <v>0</v>
      </c>
      <c r="D64" s="172">
        <v>0</v>
      </c>
      <c r="E64" s="172">
        <f t="shared" si="10"/>
        <v>0</v>
      </c>
      <c r="F64" s="172">
        <f t="shared" si="11"/>
        <v>0</v>
      </c>
      <c r="G64" s="172">
        <f>VLOOKUP($A$11,'[1]6.2. отчет'!$D:$AGO,337,0)</f>
        <v>0</v>
      </c>
      <c r="H64" s="172">
        <f>VLOOKUP($A$11,'[1]6.2. отчет'!$D:$AGO,342,0)</f>
        <v>0</v>
      </c>
      <c r="I64" s="172">
        <f>VLOOKUP($A$11,'[1]6.2. отчет'!$D:$AGO,367,0)</f>
        <v>0</v>
      </c>
      <c r="J64" s="172">
        <f>VLOOKUP($A$11,'[1]6.2. отчет'!$D:$AGO,372,0)</f>
        <v>0</v>
      </c>
      <c r="K64" s="172">
        <f>VLOOKUP($A$11,'[1]6.2. отчет'!$D:$AGO,396,0)</f>
        <v>0</v>
      </c>
    </row>
    <row r="66" spans="2:11" ht="50.25" customHeight="1" x14ac:dyDescent="0.25">
      <c r="B66" s="322"/>
      <c r="C66" s="322"/>
      <c r="D66" s="322"/>
      <c r="E66" s="322"/>
      <c r="F66" s="322"/>
      <c r="G66" s="322"/>
      <c r="H66" s="322"/>
      <c r="I66" s="322"/>
      <c r="J66" s="322"/>
      <c r="K66" s="322"/>
    </row>
    <row r="68" spans="2:11" ht="36.75" customHeight="1" x14ac:dyDescent="0.25">
      <c r="B68" s="323"/>
      <c r="C68" s="323"/>
      <c r="D68" s="323"/>
      <c r="E68" s="323"/>
      <c r="F68" s="323"/>
      <c r="G68" s="323"/>
      <c r="H68" s="323"/>
      <c r="I68" s="323"/>
      <c r="J68" s="323"/>
      <c r="K68" s="323"/>
    </row>
    <row r="69" spans="2:11" x14ac:dyDescent="0.25">
      <c r="B69" s="57"/>
      <c r="C69" s="57"/>
      <c r="D69" s="58"/>
      <c r="E69" s="58"/>
      <c r="F69" s="58"/>
    </row>
    <row r="70" spans="2:11" ht="51" customHeight="1" x14ac:dyDescent="0.25">
      <c r="B70" s="323"/>
      <c r="C70" s="323"/>
      <c r="D70" s="323"/>
      <c r="E70" s="323"/>
      <c r="F70" s="323"/>
      <c r="G70" s="323"/>
      <c r="H70" s="323"/>
      <c r="I70" s="323"/>
      <c r="J70" s="323"/>
      <c r="K70" s="323"/>
    </row>
    <row r="71" spans="2:11" ht="32.25" customHeight="1" x14ac:dyDescent="0.25">
      <c r="B71" s="322"/>
      <c r="C71" s="322"/>
      <c r="D71" s="322"/>
      <c r="E71" s="322"/>
      <c r="F71" s="322"/>
      <c r="G71" s="322"/>
      <c r="H71" s="322"/>
      <c r="I71" s="322"/>
      <c r="J71" s="322"/>
      <c r="K71" s="322"/>
    </row>
    <row r="72" spans="2:11" ht="51.75" customHeight="1" x14ac:dyDescent="0.25">
      <c r="B72" s="323"/>
      <c r="C72" s="323"/>
      <c r="D72" s="323"/>
      <c r="E72" s="323"/>
      <c r="F72" s="323"/>
      <c r="G72" s="323"/>
      <c r="H72" s="323"/>
      <c r="I72" s="323"/>
      <c r="J72" s="323"/>
      <c r="K72" s="323"/>
    </row>
    <row r="73" spans="2:11" ht="21.75" customHeight="1" x14ac:dyDescent="0.25">
      <c r="B73" s="324"/>
      <c r="C73" s="324"/>
      <c r="D73" s="324"/>
      <c r="E73" s="324"/>
      <c r="F73" s="324"/>
      <c r="G73" s="324"/>
      <c r="H73" s="324"/>
      <c r="I73" s="324"/>
      <c r="J73" s="324"/>
      <c r="K73" s="324"/>
    </row>
    <row r="74" spans="2:11" ht="23.25" customHeight="1" x14ac:dyDescent="0.25">
      <c r="B74" s="59"/>
      <c r="C74" s="59"/>
      <c r="D74" s="58"/>
      <c r="E74" s="58"/>
      <c r="F74" s="58"/>
    </row>
    <row r="75" spans="2:11" ht="18.75" customHeight="1" x14ac:dyDescent="0.25">
      <c r="B75" s="321"/>
      <c r="C75" s="321"/>
      <c r="D75" s="321"/>
      <c r="E75" s="321"/>
      <c r="F75" s="321"/>
      <c r="G75" s="321"/>
      <c r="H75" s="321"/>
      <c r="I75" s="321"/>
      <c r="J75" s="321"/>
      <c r="K75" s="321"/>
    </row>
  </sheetData>
  <mergeCells count="29">
    <mergeCell ref="A3:K3"/>
    <mergeCell ref="A4:K4"/>
    <mergeCell ref="A6:K6"/>
    <mergeCell ref="A8:K8"/>
    <mergeCell ref="A9:K9"/>
    <mergeCell ref="H21:I21"/>
    <mergeCell ref="J21:K21"/>
    <mergeCell ref="H20:K20"/>
    <mergeCell ref="B75:K75"/>
    <mergeCell ref="B66:K66"/>
    <mergeCell ref="B68:K68"/>
    <mergeCell ref="B70:K70"/>
    <mergeCell ref="B71:K71"/>
    <mergeCell ref="B72:K72"/>
    <mergeCell ref="B73:K73"/>
    <mergeCell ref="A19:K19"/>
    <mergeCell ref="A14:K14"/>
    <mergeCell ref="G7:K7"/>
    <mergeCell ref="G5:K5"/>
    <mergeCell ref="G10:K10"/>
    <mergeCell ref="A11:K11"/>
    <mergeCell ref="G13:K13"/>
    <mergeCell ref="A12:K12"/>
    <mergeCell ref="A15:K15"/>
    <mergeCell ref="A20:A22"/>
    <mergeCell ref="B20:B22"/>
    <mergeCell ref="C20:D21"/>
    <mergeCell ref="E20:F21"/>
    <mergeCell ref="G20:G2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2"/>
  <sheetViews>
    <sheetView view="pageBreakPreview" topLeftCell="A18" zoomScale="80" zoomScaleSheetLayoutView="80" workbookViewId="0">
      <selection activeCell="G29" sqref="G29"/>
    </sheetView>
  </sheetViews>
  <sheetFormatPr defaultColWidth="9.140625" defaultRowHeight="15" x14ac:dyDescent="0.25"/>
  <cols>
    <col min="1" max="1" width="6.140625" style="61" customWidth="1"/>
    <col min="2" max="2" width="23.140625" style="61" customWidth="1"/>
    <col min="3" max="3" width="19.85546875" style="61" customWidth="1"/>
    <col min="4" max="4" width="15.140625" style="61" customWidth="1"/>
    <col min="5" max="12" width="7.7109375" style="61" customWidth="1"/>
    <col min="13" max="13" width="12" style="61" customWidth="1"/>
    <col min="14" max="14" width="21.42578125" style="61" customWidth="1"/>
    <col min="15" max="15" width="17.42578125" style="61" customWidth="1"/>
    <col min="16" max="17" width="13.42578125" style="61" customWidth="1"/>
    <col min="18" max="18" width="17" style="61" customWidth="1"/>
    <col min="19" max="20" width="9.7109375" style="61" customWidth="1"/>
    <col min="21" max="21" width="11.42578125" style="61" customWidth="1"/>
    <col min="22" max="22" width="12.7109375" style="61" customWidth="1"/>
    <col min="23" max="23" width="25.5703125" style="61" customWidth="1"/>
    <col min="24" max="24" width="17" style="61" customWidth="1"/>
    <col min="25" max="25" width="16.7109375" style="61" customWidth="1"/>
    <col min="26" max="26" width="7.7109375" style="61" customWidth="1"/>
    <col min="27" max="27" width="17.28515625" style="61" customWidth="1"/>
    <col min="28" max="28" width="16.5703125" style="61" customWidth="1"/>
    <col min="29" max="29" width="18.28515625" style="61" customWidth="1"/>
    <col min="30" max="30" width="16.42578125" style="61" customWidth="1"/>
    <col min="31" max="31" width="15.85546875" style="61" customWidth="1"/>
    <col min="32" max="32" width="11.7109375" style="61" customWidth="1"/>
    <col min="33" max="34" width="11.5703125" style="61" customWidth="1"/>
    <col min="35" max="35" width="11" style="61" customWidth="1"/>
    <col min="36" max="36" width="11.7109375" style="61" customWidth="1"/>
    <col min="37" max="37" width="12" style="61" customWidth="1"/>
    <col min="38" max="38" width="12.28515625" style="61" customWidth="1"/>
    <col min="39" max="39" width="9.7109375" style="61" customWidth="1"/>
    <col min="40" max="40" width="11.5703125" style="61" customWidth="1"/>
    <col min="41" max="41" width="14" style="61" customWidth="1"/>
    <col min="42" max="42" width="12.42578125" style="61" customWidth="1"/>
    <col min="43" max="43" width="12" style="61" customWidth="1"/>
    <col min="44" max="44" width="14.140625" style="61" customWidth="1"/>
    <col min="45" max="45" width="13.28515625" style="61" customWidth="1"/>
    <col min="46" max="46" width="18.28515625" style="61" customWidth="1"/>
    <col min="47" max="47" width="10.7109375" style="61" customWidth="1"/>
    <col min="48" max="48" width="59.7109375" style="61" customWidth="1"/>
    <col min="49" max="16384" width="9.140625" style="61"/>
  </cols>
  <sheetData>
    <row r="1" spans="1:48" ht="18.75" x14ac:dyDescent="0.25">
      <c r="AV1" s="16" t="s">
        <v>22</v>
      </c>
    </row>
    <row r="2" spans="1:48" ht="18.75" x14ac:dyDescent="0.3">
      <c r="AV2" s="14" t="s">
        <v>6</v>
      </c>
    </row>
    <row r="3" spans="1:48" ht="18.75" x14ac:dyDescent="0.3">
      <c r="AV3" s="14" t="s">
        <v>21</v>
      </c>
    </row>
    <row r="4" spans="1:48" ht="18.75" x14ac:dyDescent="0.3">
      <c r="A4" s="60"/>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14"/>
    </row>
    <row r="5" spans="1:48" s="45" customFormat="1" ht="20.25" customHeight="1" x14ac:dyDescent="0.25">
      <c r="A5" s="246"/>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s="77" customFormat="1" ht="18.75" x14ac:dyDescent="0.3">
      <c r="A6" s="13"/>
      <c r="B6" s="13"/>
      <c r="D6" s="286"/>
      <c r="E6" s="286"/>
      <c r="F6" s="286"/>
      <c r="G6" s="286"/>
      <c r="H6" s="286"/>
      <c r="I6" s="286"/>
      <c r="L6" s="14"/>
    </row>
    <row r="7" spans="1:48" s="77" customFormat="1" ht="15.75" x14ac:dyDescent="0.25">
      <c r="D7" s="12"/>
      <c r="E7" s="12"/>
      <c r="F7" s="12"/>
      <c r="G7" s="12"/>
      <c r="H7" s="12"/>
      <c r="I7" s="12"/>
      <c r="J7" s="12"/>
      <c r="T7" s="236" t="str">
        <f>'1. паспорт местоположение'!$A$5</f>
        <v>Год раскрытия информации: 2025 год</v>
      </c>
      <c r="U7" s="236"/>
      <c r="V7" s="236"/>
      <c r="W7" s="236"/>
      <c r="X7" s="236"/>
      <c r="Y7" s="236"/>
      <c r="Z7" s="236"/>
      <c r="AA7" s="236"/>
      <c r="AB7" s="236"/>
      <c r="AC7" s="236"/>
      <c r="AD7" s="236"/>
    </row>
    <row r="8" spans="1:48" s="77" customFormat="1" ht="18.75" x14ac:dyDescent="0.3">
      <c r="H8" s="14"/>
      <c r="T8" s="275"/>
      <c r="U8" s="275"/>
      <c r="V8" s="275"/>
      <c r="W8" s="275"/>
      <c r="X8" s="275"/>
      <c r="Y8" s="275"/>
      <c r="Z8" s="275"/>
      <c r="AA8" s="275"/>
      <c r="AB8" s="275"/>
      <c r="AC8" s="275"/>
      <c r="AD8" s="275"/>
    </row>
    <row r="9" spans="1:48" s="77" customFormat="1" ht="18.75" x14ac:dyDescent="0.2">
      <c r="D9" s="17"/>
      <c r="E9" s="17"/>
      <c r="F9" s="17"/>
      <c r="G9" s="17"/>
      <c r="H9" s="17"/>
      <c r="I9" s="17"/>
      <c r="J9" s="17"/>
      <c r="K9" s="17"/>
      <c r="L9" s="17"/>
      <c r="M9" s="17"/>
      <c r="N9" s="17"/>
      <c r="O9" s="17"/>
      <c r="P9" s="17"/>
      <c r="Q9" s="17"/>
      <c r="R9" s="17"/>
      <c r="S9" s="17"/>
      <c r="T9" s="240" t="s">
        <v>5</v>
      </c>
      <c r="U9" s="240"/>
      <c r="V9" s="240"/>
      <c r="W9" s="240"/>
      <c r="X9" s="240"/>
      <c r="Y9" s="240"/>
      <c r="Z9" s="240"/>
      <c r="AA9" s="240"/>
      <c r="AB9" s="240"/>
      <c r="AC9" s="240"/>
      <c r="AD9" s="240"/>
    </row>
    <row r="10" spans="1:48" s="77" customFormat="1" ht="18.75" x14ac:dyDescent="0.2">
      <c r="D10" s="82"/>
      <c r="E10" s="82"/>
      <c r="F10" s="82"/>
      <c r="G10" s="82"/>
      <c r="H10" s="82"/>
      <c r="I10" s="17"/>
      <c r="J10" s="17"/>
      <c r="K10" s="17"/>
      <c r="L10" s="17"/>
      <c r="M10" s="17"/>
      <c r="N10" s="17"/>
      <c r="O10" s="17"/>
      <c r="P10" s="17"/>
      <c r="Q10" s="17"/>
      <c r="R10" s="17"/>
      <c r="S10" s="17"/>
      <c r="T10" s="240"/>
      <c r="U10" s="240"/>
      <c r="V10" s="240"/>
      <c r="W10" s="240"/>
      <c r="X10" s="240"/>
      <c r="Y10" s="240"/>
      <c r="Z10" s="240"/>
      <c r="AA10" s="240"/>
      <c r="AB10" s="240"/>
      <c r="AC10" s="240"/>
      <c r="AD10" s="240"/>
    </row>
    <row r="11" spans="1:48" s="77" customFormat="1" ht="18.75" x14ac:dyDescent="0.2">
      <c r="D11" s="18"/>
      <c r="E11" s="18"/>
      <c r="F11" s="18"/>
      <c r="G11" s="18"/>
      <c r="H11" s="18"/>
      <c r="I11" s="17"/>
      <c r="J11" s="17"/>
      <c r="K11" s="17"/>
      <c r="L11" s="17"/>
      <c r="M11" s="17"/>
      <c r="N11" s="17"/>
      <c r="O11" s="17"/>
      <c r="P11" s="17"/>
      <c r="Q11" s="17"/>
      <c r="R11" s="17"/>
      <c r="S11" s="17"/>
      <c r="T11" s="241" t="s">
        <v>264</v>
      </c>
      <c r="U11" s="241"/>
      <c r="V11" s="241"/>
      <c r="W11" s="241"/>
      <c r="X11" s="241"/>
      <c r="Y11" s="241"/>
      <c r="Z11" s="241"/>
      <c r="AA11" s="241"/>
      <c r="AB11" s="241"/>
      <c r="AC11" s="241"/>
      <c r="AD11" s="241"/>
    </row>
    <row r="12" spans="1:48" s="77" customFormat="1" ht="18.75" x14ac:dyDescent="0.2">
      <c r="D12" s="15"/>
      <c r="E12" s="15"/>
      <c r="F12" s="15"/>
      <c r="G12" s="15"/>
      <c r="H12" s="15"/>
      <c r="I12" s="17"/>
      <c r="J12" s="17"/>
      <c r="K12" s="17"/>
      <c r="L12" s="17"/>
      <c r="M12" s="17"/>
      <c r="N12" s="17"/>
      <c r="O12" s="17"/>
      <c r="P12" s="17"/>
      <c r="Q12" s="17"/>
      <c r="R12" s="17"/>
      <c r="S12" s="17"/>
      <c r="T12" s="246" t="s">
        <v>4</v>
      </c>
      <c r="U12" s="246"/>
      <c r="V12" s="246"/>
      <c r="W12" s="246"/>
      <c r="X12" s="246"/>
      <c r="Y12" s="246"/>
      <c r="Z12" s="246"/>
      <c r="AA12" s="246"/>
      <c r="AB12" s="246"/>
      <c r="AC12" s="246"/>
      <c r="AD12" s="246"/>
    </row>
    <row r="13" spans="1:48" s="77" customFormat="1" ht="18.75" x14ac:dyDescent="0.2">
      <c r="D13" s="82"/>
      <c r="E13" s="82"/>
      <c r="F13" s="82"/>
      <c r="G13" s="82"/>
      <c r="H13" s="82"/>
      <c r="I13" s="17"/>
      <c r="J13" s="17"/>
      <c r="K13" s="17"/>
      <c r="L13" s="17"/>
      <c r="M13" s="17"/>
      <c r="N13" s="17"/>
      <c r="O13" s="17"/>
      <c r="P13" s="17"/>
      <c r="Q13" s="17"/>
      <c r="R13" s="17"/>
      <c r="S13" s="17"/>
      <c r="T13" s="240"/>
      <c r="U13" s="240"/>
      <c r="V13" s="240"/>
      <c r="W13" s="240"/>
      <c r="X13" s="240"/>
      <c r="Y13" s="240"/>
      <c r="Z13" s="240"/>
      <c r="AA13" s="240"/>
      <c r="AB13" s="240"/>
      <c r="AC13" s="240"/>
      <c r="AD13" s="240"/>
    </row>
    <row r="14" spans="1:48" s="77" customFormat="1" ht="18.75" x14ac:dyDescent="0.2">
      <c r="D14" s="18"/>
      <c r="E14" s="18"/>
      <c r="F14" s="18"/>
      <c r="G14" s="18"/>
      <c r="H14" s="18"/>
      <c r="I14" s="17"/>
      <c r="J14" s="17"/>
      <c r="K14" s="17"/>
      <c r="L14" s="17"/>
      <c r="M14" s="17"/>
      <c r="N14" s="17"/>
      <c r="O14" s="17"/>
      <c r="P14" s="17"/>
      <c r="Q14" s="17"/>
      <c r="R14" s="17"/>
      <c r="S14" s="17"/>
      <c r="T14" s="241" t="str">
        <f>'1. паспорт местоположение'!$A$12</f>
        <v>L_Che370</v>
      </c>
      <c r="U14" s="241"/>
      <c r="V14" s="241"/>
      <c r="W14" s="241"/>
      <c r="X14" s="241"/>
      <c r="Y14" s="241"/>
      <c r="Z14" s="241"/>
      <c r="AA14" s="241"/>
      <c r="AB14" s="241"/>
      <c r="AC14" s="241"/>
      <c r="AD14" s="241"/>
    </row>
    <row r="15" spans="1:48" s="77" customFormat="1" ht="18.75" x14ac:dyDescent="0.2">
      <c r="D15" s="15"/>
      <c r="E15" s="15"/>
      <c r="F15" s="15"/>
      <c r="G15" s="15"/>
      <c r="H15" s="15"/>
      <c r="I15" s="17"/>
      <c r="J15" s="17"/>
      <c r="K15" s="17"/>
      <c r="L15" s="17"/>
      <c r="M15" s="17"/>
      <c r="N15" s="17"/>
      <c r="O15" s="17"/>
      <c r="P15" s="17"/>
      <c r="Q15" s="17"/>
      <c r="R15" s="17"/>
      <c r="S15" s="17"/>
      <c r="T15" s="246" t="s">
        <v>3</v>
      </c>
      <c r="U15" s="246"/>
      <c r="V15" s="246"/>
      <c r="W15" s="246"/>
      <c r="X15" s="246"/>
      <c r="Y15" s="246"/>
      <c r="Z15" s="246"/>
      <c r="AA15" s="246"/>
      <c r="AB15" s="246"/>
      <c r="AC15" s="246"/>
      <c r="AD15" s="246"/>
    </row>
    <row r="16" spans="1:48" s="80" customFormat="1" ht="15.75" customHeight="1" x14ac:dyDescent="0.2">
      <c r="D16" s="1"/>
      <c r="E16" s="1"/>
      <c r="F16" s="1"/>
      <c r="G16" s="1"/>
      <c r="H16" s="1"/>
      <c r="I16" s="1"/>
      <c r="J16" s="1"/>
      <c r="K16" s="1"/>
      <c r="L16" s="1"/>
      <c r="M16" s="1"/>
      <c r="N16" s="1"/>
      <c r="O16" s="1"/>
      <c r="P16" s="1"/>
      <c r="Q16" s="1"/>
      <c r="R16" s="1"/>
      <c r="S16" s="1"/>
      <c r="T16" s="274"/>
      <c r="U16" s="274"/>
      <c r="V16" s="274"/>
      <c r="W16" s="274"/>
      <c r="X16" s="274"/>
      <c r="Y16" s="274"/>
      <c r="Z16" s="274"/>
      <c r="AA16" s="274"/>
      <c r="AB16" s="274"/>
      <c r="AC16" s="274"/>
      <c r="AD16" s="274"/>
    </row>
    <row r="17" spans="1:48" s="25" customFormat="1" ht="78.75" customHeight="1" x14ac:dyDescent="0.2">
      <c r="D17" s="18"/>
      <c r="E17" s="18"/>
      <c r="F17" s="18"/>
      <c r="G17" s="18"/>
      <c r="H17" s="18"/>
      <c r="I17" s="18"/>
      <c r="J17" s="18"/>
      <c r="K17" s="18"/>
      <c r="L17" s="18"/>
      <c r="M17" s="18"/>
      <c r="N17" s="18"/>
      <c r="O17" s="247" t="str">
        <f>'1. паспорт местоположение'!$A$15</f>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
      <c r="P17" s="247"/>
      <c r="Q17" s="247"/>
      <c r="R17" s="247"/>
      <c r="S17" s="247"/>
      <c r="T17" s="247"/>
      <c r="U17" s="247"/>
      <c r="V17" s="247"/>
      <c r="W17" s="247"/>
      <c r="X17" s="247"/>
      <c r="Y17" s="247"/>
      <c r="Z17" s="247"/>
      <c r="AA17" s="247"/>
      <c r="AB17" s="247"/>
      <c r="AC17" s="247"/>
      <c r="AD17" s="247"/>
      <c r="AE17" s="247"/>
      <c r="AF17" s="247"/>
      <c r="AG17" s="247"/>
      <c r="AH17" s="247"/>
      <c r="AI17" s="247"/>
      <c r="AJ17" s="247"/>
      <c r="AK17" s="247"/>
    </row>
    <row r="18" spans="1:48" s="25" customFormat="1" ht="15" customHeight="1" x14ac:dyDescent="0.2">
      <c r="D18" s="15"/>
      <c r="E18" s="15"/>
      <c r="F18" s="15"/>
      <c r="G18" s="15"/>
      <c r="H18" s="15"/>
      <c r="I18" s="15"/>
      <c r="J18" s="15"/>
      <c r="K18" s="15"/>
      <c r="L18" s="15"/>
      <c r="M18" s="15"/>
      <c r="N18" s="15"/>
      <c r="O18" s="15"/>
      <c r="P18" s="15"/>
      <c r="Q18" s="15"/>
      <c r="R18" s="15"/>
      <c r="S18" s="15"/>
      <c r="T18" s="246" t="s">
        <v>2</v>
      </c>
      <c r="U18" s="246"/>
      <c r="V18" s="246"/>
      <c r="W18" s="246"/>
      <c r="X18" s="246"/>
      <c r="Y18" s="246"/>
      <c r="Z18" s="246"/>
      <c r="AA18" s="246"/>
      <c r="AB18" s="246"/>
      <c r="AC18" s="246"/>
      <c r="AD18" s="246"/>
    </row>
    <row r="19" spans="1:4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c r="AB19" s="348"/>
      <c r="AC19" s="348"/>
      <c r="AD19" s="348"/>
      <c r="AE19" s="348"/>
      <c r="AF19" s="348"/>
      <c r="AG19" s="348"/>
      <c r="AH19" s="348"/>
      <c r="AI19" s="348"/>
      <c r="AJ19" s="348"/>
      <c r="AK19" s="348"/>
      <c r="AL19" s="348"/>
      <c r="AM19" s="348"/>
      <c r="AN19" s="348"/>
      <c r="AO19" s="348"/>
      <c r="AP19" s="348"/>
      <c r="AQ19" s="348"/>
      <c r="AR19" s="348"/>
      <c r="AS19" s="348"/>
      <c r="AT19" s="348"/>
      <c r="AU19" s="348"/>
      <c r="AV19" s="348"/>
    </row>
    <row r="20" spans="1:48" x14ac:dyDescent="0.25">
      <c r="A20" s="349" t="s">
        <v>390</v>
      </c>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349"/>
      <c r="AP20" s="349"/>
      <c r="AQ20" s="349"/>
      <c r="AR20" s="349"/>
      <c r="AS20" s="349"/>
      <c r="AT20" s="349"/>
      <c r="AU20" s="349"/>
      <c r="AV20" s="349"/>
    </row>
    <row r="21" spans="1:48" ht="69.75" customHeight="1" x14ac:dyDescent="0.25">
      <c r="A21" s="343" t="s">
        <v>391</v>
      </c>
      <c r="B21" s="337" t="s">
        <v>454</v>
      </c>
      <c r="C21" s="343" t="s">
        <v>392</v>
      </c>
      <c r="D21" s="343" t="s">
        <v>393</v>
      </c>
      <c r="E21" s="340" t="s">
        <v>394</v>
      </c>
      <c r="F21" s="341"/>
      <c r="G21" s="341"/>
      <c r="H21" s="341"/>
      <c r="I21" s="341"/>
      <c r="J21" s="341"/>
      <c r="K21" s="341"/>
      <c r="L21" s="342"/>
      <c r="M21" s="343" t="s">
        <v>395</v>
      </c>
      <c r="N21" s="343" t="s">
        <v>396</v>
      </c>
      <c r="O21" s="343" t="s">
        <v>397</v>
      </c>
      <c r="P21" s="347" t="s">
        <v>398</v>
      </c>
      <c r="Q21" s="347" t="s">
        <v>399</v>
      </c>
      <c r="R21" s="347" t="s">
        <v>400</v>
      </c>
      <c r="S21" s="347" t="s">
        <v>401</v>
      </c>
      <c r="T21" s="347"/>
      <c r="U21" s="354" t="s">
        <v>402</v>
      </c>
      <c r="V21" s="354" t="s">
        <v>403</v>
      </c>
      <c r="W21" s="347" t="s">
        <v>404</v>
      </c>
      <c r="X21" s="347" t="s">
        <v>405</v>
      </c>
      <c r="Y21" s="347" t="s">
        <v>406</v>
      </c>
      <c r="Z21" s="346" t="s">
        <v>407</v>
      </c>
      <c r="AA21" s="347" t="s">
        <v>408</v>
      </c>
      <c r="AB21" s="347" t="s">
        <v>409</v>
      </c>
      <c r="AC21" s="347" t="s">
        <v>410</v>
      </c>
      <c r="AD21" s="347" t="s">
        <v>411</v>
      </c>
      <c r="AE21" s="347" t="s">
        <v>412</v>
      </c>
      <c r="AF21" s="347" t="s">
        <v>413</v>
      </c>
      <c r="AG21" s="347"/>
      <c r="AH21" s="347"/>
      <c r="AI21" s="347"/>
      <c r="AJ21" s="347"/>
      <c r="AK21" s="347"/>
      <c r="AL21" s="347" t="s">
        <v>414</v>
      </c>
      <c r="AM21" s="347"/>
      <c r="AN21" s="347"/>
      <c r="AO21" s="347"/>
      <c r="AP21" s="347" t="s">
        <v>415</v>
      </c>
      <c r="AQ21" s="347"/>
      <c r="AR21" s="347" t="s">
        <v>416</v>
      </c>
      <c r="AS21" s="347" t="s">
        <v>417</v>
      </c>
      <c r="AT21" s="347" t="s">
        <v>418</v>
      </c>
      <c r="AU21" s="347" t="s">
        <v>419</v>
      </c>
      <c r="AV21" s="355" t="s">
        <v>420</v>
      </c>
    </row>
    <row r="22" spans="1:48" ht="83.25" customHeight="1" x14ac:dyDescent="0.25">
      <c r="A22" s="344"/>
      <c r="B22" s="338"/>
      <c r="C22" s="344"/>
      <c r="D22" s="344"/>
      <c r="E22" s="359" t="s">
        <v>421</v>
      </c>
      <c r="F22" s="352" t="s">
        <v>46</v>
      </c>
      <c r="G22" s="352" t="s">
        <v>45</v>
      </c>
      <c r="H22" s="352" t="s">
        <v>44</v>
      </c>
      <c r="I22" s="361" t="s">
        <v>422</v>
      </c>
      <c r="J22" s="361" t="s">
        <v>423</v>
      </c>
      <c r="K22" s="361" t="s">
        <v>424</v>
      </c>
      <c r="L22" s="352" t="s">
        <v>383</v>
      </c>
      <c r="M22" s="344"/>
      <c r="N22" s="344"/>
      <c r="O22" s="344"/>
      <c r="P22" s="347"/>
      <c r="Q22" s="347"/>
      <c r="R22" s="347"/>
      <c r="S22" s="350" t="s">
        <v>0</v>
      </c>
      <c r="T22" s="350" t="s">
        <v>425</v>
      </c>
      <c r="U22" s="354"/>
      <c r="V22" s="354"/>
      <c r="W22" s="347"/>
      <c r="X22" s="347"/>
      <c r="Y22" s="347"/>
      <c r="Z22" s="347"/>
      <c r="AA22" s="347"/>
      <c r="AB22" s="347"/>
      <c r="AC22" s="347"/>
      <c r="AD22" s="347"/>
      <c r="AE22" s="347"/>
      <c r="AF22" s="347" t="s">
        <v>426</v>
      </c>
      <c r="AG22" s="347"/>
      <c r="AH22" s="347" t="s">
        <v>427</v>
      </c>
      <c r="AI22" s="347"/>
      <c r="AJ22" s="343" t="s">
        <v>428</v>
      </c>
      <c r="AK22" s="343" t="s">
        <v>429</v>
      </c>
      <c r="AL22" s="343" t="s">
        <v>430</v>
      </c>
      <c r="AM22" s="343" t="s">
        <v>431</v>
      </c>
      <c r="AN22" s="343" t="s">
        <v>432</v>
      </c>
      <c r="AO22" s="343" t="s">
        <v>433</v>
      </c>
      <c r="AP22" s="343" t="s">
        <v>434</v>
      </c>
      <c r="AQ22" s="357" t="s">
        <v>425</v>
      </c>
      <c r="AR22" s="347"/>
      <c r="AS22" s="347"/>
      <c r="AT22" s="347"/>
      <c r="AU22" s="347"/>
      <c r="AV22" s="356"/>
    </row>
    <row r="23" spans="1:48" ht="96.75" customHeight="1" x14ac:dyDescent="0.25">
      <c r="A23" s="345"/>
      <c r="B23" s="339"/>
      <c r="C23" s="345"/>
      <c r="D23" s="345"/>
      <c r="E23" s="360"/>
      <c r="F23" s="353"/>
      <c r="G23" s="353"/>
      <c r="H23" s="353"/>
      <c r="I23" s="362"/>
      <c r="J23" s="362"/>
      <c r="K23" s="362"/>
      <c r="L23" s="353"/>
      <c r="M23" s="345"/>
      <c r="N23" s="345"/>
      <c r="O23" s="345"/>
      <c r="P23" s="347"/>
      <c r="Q23" s="347"/>
      <c r="R23" s="347"/>
      <c r="S23" s="351"/>
      <c r="T23" s="351"/>
      <c r="U23" s="354"/>
      <c r="V23" s="354"/>
      <c r="W23" s="347"/>
      <c r="X23" s="347"/>
      <c r="Y23" s="347"/>
      <c r="Z23" s="347"/>
      <c r="AA23" s="347"/>
      <c r="AB23" s="347"/>
      <c r="AC23" s="347"/>
      <c r="AD23" s="347"/>
      <c r="AE23" s="347"/>
      <c r="AF23" s="85" t="s">
        <v>435</v>
      </c>
      <c r="AG23" s="85" t="s">
        <v>436</v>
      </c>
      <c r="AH23" s="62" t="s">
        <v>0</v>
      </c>
      <c r="AI23" s="62" t="s">
        <v>425</v>
      </c>
      <c r="AJ23" s="345"/>
      <c r="AK23" s="345"/>
      <c r="AL23" s="345"/>
      <c r="AM23" s="345"/>
      <c r="AN23" s="345"/>
      <c r="AO23" s="345"/>
      <c r="AP23" s="345"/>
      <c r="AQ23" s="358"/>
      <c r="AR23" s="347"/>
      <c r="AS23" s="347"/>
      <c r="AT23" s="347"/>
      <c r="AU23" s="347"/>
      <c r="AV23" s="356"/>
    </row>
    <row r="24" spans="1:48" s="95" customFormat="1" ht="11.25" x14ac:dyDescent="0.2">
      <c r="A24" s="94">
        <v>1</v>
      </c>
      <c r="B24" s="94">
        <v>2</v>
      </c>
      <c r="C24" s="94">
        <v>4</v>
      </c>
      <c r="D24" s="94">
        <v>5</v>
      </c>
      <c r="E24" s="94">
        <v>6</v>
      </c>
      <c r="F24" s="94">
        <f t="shared" ref="F24:AV24" si="0">E24+1</f>
        <v>7</v>
      </c>
      <c r="G24" s="94">
        <f t="shared" si="0"/>
        <v>8</v>
      </c>
      <c r="H24" s="94">
        <f t="shared" si="0"/>
        <v>9</v>
      </c>
      <c r="I24" s="94">
        <f t="shared" si="0"/>
        <v>10</v>
      </c>
      <c r="J24" s="94">
        <f t="shared" si="0"/>
        <v>11</v>
      </c>
      <c r="K24" s="94">
        <f t="shared" si="0"/>
        <v>12</v>
      </c>
      <c r="L24" s="94">
        <f t="shared" si="0"/>
        <v>13</v>
      </c>
      <c r="M24" s="94">
        <f t="shared" si="0"/>
        <v>14</v>
      </c>
      <c r="N24" s="94">
        <f t="shared" si="0"/>
        <v>15</v>
      </c>
      <c r="O24" s="94">
        <f t="shared" si="0"/>
        <v>16</v>
      </c>
      <c r="P24" s="94">
        <f t="shared" si="0"/>
        <v>17</v>
      </c>
      <c r="Q24" s="94">
        <f t="shared" si="0"/>
        <v>18</v>
      </c>
      <c r="R24" s="94">
        <f t="shared" si="0"/>
        <v>19</v>
      </c>
      <c r="S24" s="94">
        <f t="shared" si="0"/>
        <v>20</v>
      </c>
      <c r="T24" s="94">
        <f t="shared" si="0"/>
        <v>21</v>
      </c>
      <c r="U24" s="94">
        <f t="shared" si="0"/>
        <v>22</v>
      </c>
      <c r="V24" s="94">
        <f t="shared" si="0"/>
        <v>23</v>
      </c>
      <c r="W24" s="94">
        <f t="shared" si="0"/>
        <v>24</v>
      </c>
      <c r="X24" s="94">
        <f t="shared" si="0"/>
        <v>25</v>
      </c>
      <c r="Y24" s="94">
        <f t="shared" si="0"/>
        <v>26</v>
      </c>
      <c r="Z24" s="94">
        <f t="shared" si="0"/>
        <v>27</v>
      </c>
      <c r="AA24" s="94">
        <f t="shared" si="0"/>
        <v>28</v>
      </c>
      <c r="AB24" s="94">
        <f t="shared" si="0"/>
        <v>29</v>
      </c>
      <c r="AC24" s="94">
        <f t="shared" si="0"/>
        <v>30</v>
      </c>
      <c r="AD24" s="94">
        <f t="shared" si="0"/>
        <v>31</v>
      </c>
      <c r="AE24" s="94">
        <f t="shared" si="0"/>
        <v>32</v>
      </c>
      <c r="AF24" s="94">
        <f t="shared" si="0"/>
        <v>33</v>
      </c>
      <c r="AG24" s="94">
        <f t="shared" si="0"/>
        <v>34</v>
      </c>
      <c r="AH24" s="94">
        <f t="shared" si="0"/>
        <v>35</v>
      </c>
      <c r="AI24" s="94">
        <f t="shared" si="0"/>
        <v>36</v>
      </c>
      <c r="AJ24" s="94">
        <f t="shared" si="0"/>
        <v>37</v>
      </c>
      <c r="AK24" s="94">
        <f t="shared" si="0"/>
        <v>38</v>
      </c>
      <c r="AL24" s="94">
        <f t="shared" si="0"/>
        <v>39</v>
      </c>
      <c r="AM24" s="94">
        <f t="shared" si="0"/>
        <v>40</v>
      </c>
      <c r="AN24" s="94">
        <f t="shared" si="0"/>
        <v>41</v>
      </c>
      <c r="AO24" s="94">
        <f t="shared" si="0"/>
        <v>42</v>
      </c>
      <c r="AP24" s="94">
        <f t="shared" si="0"/>
        <v>43</v>
      </c>
      <c r="AQ24" s="94">
        <f t="shared" si="0"/>
        <v>44</v>
      </c>
      <c r="AR24" s="94">
        <f t="shared" si="0"/>
        <v>45</v>
      </c>
      <c r="AS24" s="94">
        <f t="shared" si="0"/>
        <v>46</v>
      </c>
      <c r="AT24" s="94">
        <f t="shared" si="0"/>
        <v>47</v>
      </c>
      <c r="AU24" s="94">
        <f t="shared" si="0"/>
        <v>48</v>
      </c>
      <c r="AV24" s="94">
        <f t="shared" si="0"/>
        <v>49</v>
      </c>
    </row>
    <row r="25" spans="1:48" s="190" customFormat="1" ht="99.75" customHeight="1" x14ac:dyDescent="0.25">
      <c r="A25" s="176">
        <v>1</v>
      </c>
      <c r="B25" s="336" t="s">
        <v>264</v>
      </c>
      <c r="C25" s="336" t="s">
        <v>463</v>
      </c>
      <c r="D25" s="336">
        <v>45261</v>
      </c>
      <c r="E25" s="326">
        <v>0</v>
      </c>
      <c r="F25" s="326">
        <v>0</v>
      </c>
      <c r="G25" s="326">
        <v>7.28</v>
      </c>
      <c r="H25" s="326">
        <v>0</v>
      </c>
      <c r="I25" s="326">
        <v>130.96</v>
      </c>
      <c r="J25" s="326">
        <v>0</v>
      </c>
      <c r="K25" s="326">
        <v>0</v>
      </c>
      <c r="L25" s="326">
        <v>0</v>
      </c>
      <c r="M25" s="176" t="s">
        <v>459</v>
      </c>
      <c r="N25" s="176" t="s">
        <v>459</v>
      </c>
      <c r="O25" s="330" t="s">
        <v>464</v>
      </c>
      <c r="P25" s="184">
        <v>118117.09</v>
      </c>
      <c r="Q25" s="176" t="s">
        <v>465</v>
      </c>
      <c r="R25" s="184">
        <v>118117.09</v>
      </c>
      <c r="S25" s="176" t="s">
        <v>466</v>
      </c>
      <c r="T25" s="176" t="s">
        <v>466</v>
      </c>
      <c r="U25" s="176">
        <v>2</v>
      </c>
      <c r="V25" s="176">
        <v>2</v>
      </c>
      <c r="W25" s="176" t="s">
        <v>467</v>
      </c>
      <c r="X25" s="184" t="s">
        <v>468</v>
      </c>
      <c r="Y25" s="176" t="s">
        <v>469</v>
      </c>
      <c r="Z25" s="176">
        <v>1</v>
      </c>
      <c r="AA25" s="176" t="s">
        <v>470</v>
      </c>
      <c r="AB25" s="201">
        <v>119949.58474999999</v>
      </c>
      <c r="AC25" s="176" t="s">
        <v>471</v>
      </c>
      <c r="AD25" s="201">
        <v>143939.50169999999</v>
      </c>
      <c r="AE25" s="209"/>
      <c r="AF25" s="176">
        <v>977287</v>
      </c>
      <c r="AG25" s="176" t="s">
        <v>472</v>
      </c>
      <c r="AH25" s="188">
        <v>43159</v>
      </c>
      <c r="AI25" s="188">
        <v>43159</v>
      </c>
      <c r="AJ25" s="188">
        <v>43241</v>
      </c>
      <c r="AK25" s="188">
        <v>43319</v>
      </c>
      <c r="AL25" s="327" t="s">
        <v>479</v>
      </c>
      <c r="AM25" s="328"/>
      <c r="AN25" s="328"/>
      <c r="AO25" s="329"/>
      <c r="AP25" s="189">
        <v>43329</v>
      </c>
      <c r="AQ25" s="189">
        <v>43329</v>
      </c>
      <c r="AR25" s="189">
        <v>43329</v>
      </c>
      <c r="AS25" s="189">
        <v>43329</v>
      </c>
      <c r="AT25" s="189">
        <v>43464</v>
      </c>
      <c r="AU25" s="176"/>
      <c r="AV25" s="216" t="s">
        <v>784</v>
      </c>
    </row>
    <row r="26" spans="1:48" s="187" customFormat="1" ht="106.5" customHeight="1" x14ac:dyDescent="0.25">
      <c r="A26" s="178">
        <v>2</v>
      </c>
      <c r="B26" s="336"/>
      <c r="C26" s="336"/>
      <c r="D26" s="336"/>
      <c r="E26" s="326"/>
      <c r="F26" s="326"/>
      <c r="G26" s="326"/>
      <c r="H26" s="326"/>
      <c r="I26" s="326"/>
      <c r="J26" s="326"/>
      <c r="K26" s="326"/>
      <c r="L26" s="326"/>
      <c r="M26" s="178" t="s">
        <v>473</v>
      </c>
      <c r="N26" s="178" t="s">
        <v>482</v>
      </c>
      <c r="O26" s="331"/>
      <c r="P26" s="179">
        <v>532887.41599999997</v>
      </c>
      <c r="Q26" s="180" t="s">
        <v>455</v>
      </c>
      <c r="R26" s="179">
        <v>532887.41599999997</v>
      </c>
      <c r="S26" s="178" t="s">
        <v>456</v>
      </c>
      <c r="T26" s="178" t="s">
        <v>456</v>
      </c>
      <c r="U26" s="178">
        <v>2</v>
      </c>
      <c r="V26" s="178">
        <v>2</v>
      </c>
      <c r="W26" s="178" t="s">
        <v>474</v>
      </c>
      <c r="X26" s="179" t="s">
        <v>483</v>
      </c>
      <c r="Y26" s="180" t="s">
        <v>475</v>
      </c>
      <c r="Z26" s="181" t="s">
        <v>476</v>
      </c>
      <c r="AA26" s="181" t="s">
        <v>476</v>
      </c>
      <c r="AB26" s="179">
        <v>531821.68000000005</v>
      </c>
      <c r="AC26" s="178" t="s">
        <v>477</v>
      </c>
      <c r="AD26" s="179">
        <v>638186.01</v>
      </c>
      <c r="AE26" s="217">
        <v>8032.2565599999998</v>
      </c>
      <c r="AF26" s="178">
        <v>2366046</v>
      </c>
      <c r="AG26" s="182" t="s">
        <v>478</v>
      </c>
      <c r="AH26" s="183">
        <v>43966</v>
      </c>
      <c r="AI26" s="183">
        <v>43966</v>
      </c>
      <c r="AJ26" s="183">
        <v>44076</v>
      </c>
      <c r="AK26" s="183">
        <v>44091</v>
      </c>
      <c r="AL26" s="327" t="s">
        <v>479</v>
      </c>
      <c r="AM26" s="328"/>
      <c r="AN26" s="328"/>
      <c r="AO26" s="329"/>
      <c r="AP26" s="183">
        <v>44110</v>
      </c>
      <c r="AQ26" s="183">
        <v>44110</v>
      </c>
      <c r="AR26" s="183">
        <v>44110</v>
      </c>
      <c r="AS26" s="183">
        <v>44110</v>
      </c>
      <c r="AT26" s="183">
        <v>44681</v>
      </c>
      <c r="AU26" s="176"/>
      <c r="AV26" s="218" t="s">
        <v>772</v>
      </c>
    </row>
    <row r="27" spans="1:48" ht="74.25" customHeight="1" x14ac:dyDescent="0.25">
      <c r="A27" s="215">
        <v>3</v>
      </c>
      <c r="B27" s="336"/>
      <c r="C27" s="336"/>
      <c r="D27" s="336"/>
      <c r="E27" s="326"/>
      <c r="F27" s="326"/>
      <c r="G27" s="326"/>
      <c r="H27" s="326"/>
      <c r="I27" s="326"/>
      <c r="J27" s="326"/>
      <c r="K27" s="326"/>
      <c r="L27" s="326"/>
      <c r="M27" s="206" t="s">
        <v>766</v>
      </c>
      <c r="N27" s="206" t="s">
        <v>766</v>
      </c>
      <c r="O27" s="331"/>
      <c r="P27" s="179">
        <v>43737.150016666666</v>
      </c>
      <c r="Q27" s="180" t="s">
        <v>455</v>
      </c>
      <c r="R27" s="208">
        <v>43737.150016666666</v>
      </c>
      <c r="S27" s="215" t="s">
        <v>294</v>
      </c>
      <c r="T27" s="215" t="s">
        <v>294</v>
      </c>
      <c r="U27" s="215">
        <v>1</v>
      </c>
      <c r="V27" s="215">
        <v>1</v>
      </c>
      <c r="W27" s="215" t="s">
        <v>773</v>
      </c>
      <c r="X27" s="208">
        <v>43737.150016666666</v>
      </c>
      <c r="Y27" s="215" t="s">
        <v>773</v>
      </c>
      <c r="Z27" s="215" t="s">
        <v>452</v>
      </c>
      <c r="AA27" s="215" t="s">
        <v>452</v>
      </c>
      <c r="AB27" s="208">
        <v>43737.150016666666</v>
      </c>
      <c r="AC27" s="215" t="s">
        <v>773</v>
      </c>
      <c r="AD27" s="208">
        <v>52484.580020000001</v>
      </c>
      <c r="AE27" s="209"/>
      <c r="AF27" s="333" t="s">
        <v>774</v>
      </c>
      <c r="AG27" s="334"/>
      <c r="AH27" s="334"/>
      <c r="AI27" s="334"/>
      <c r="AJ27" s="334"/>
      <c r="AK27" s="335"/>
      <c r="AL27" s="219" t="s">
        <v>294</v>
      </c>
      <c r="AM27" s="219" t="s">
        <v>294</v>
      </c>
      <c r="AN27" s="219" t="s">
        <v>294</v>
      </c>
      <c r="AO27" s="219" t="s">
        <v>294</v>
      </c>
      <c r="AP27" s="210">
        <v>44207</v>
      </c>
      <c r="AQ27" s="210">
        <v>44207</v>
      </c>
      <c r="AR27" s="210">
        <v>44207</v>
      </c>
      <c r="AS27" s="210">
        <v>44207</v>
      </c>
      <c r="AT27" s="210">
        <v>44681</v>
      </c>
      <c r="AU27" s="207"/>
      <c r="AV27" s="220" t="s">
        <v>775</v>
      </c>
    </row>
    <row r="28" spans="1:48" ht="73.5" customHeight="1" x14ac:dyDescent="0.25">
      <c r="A28" s="215">
        <v>5</v>
      </c>
      <c r="B28" s="336"/>
      <c r="C28" s="336"/>
      <c r="D28" s="336"/>
      <c r="E28" s="326"/>
      <c r="F28" s="326"/>
      <c r="G28" s="326"/>
      <c r="H28" s="326"/>
      <c r="I28" s="326"/>
      <c r="J28" s="326"/>
      <c r="K28" s="326"/>
      <c r="L28" s="326"/>
      <c r="M28" s="211" t="s">
        <v>767</v>
      </c>
      <c r="N28" s="211" t="s">
        <v>767</v>
      </c>
      <c r="O28" s="332"/>
      <c r="P28" s="179">
        <v>5687.1166833333336</v>
      </c>
      <c r="Q28" s="215" t="s">
        <v>776</v>
      </c>
      <c r="R28" s="208">
        <v>5687.1166833333336</v>
      </c>
      <c r="S28" s="215" t="s">
        <v>777</v>
      </c>
      <c r="T28" s="215" t="s">
        <v>777</v>
      </c>
      <c r="U28" s="215">
        <v>1</v>
      </c>
      <c r="V28" s="215">
        <v>1</v>
      </c>
      <c r="W28" s="215" t="s">
        <v>778</v>
      </c>
      <c r="X28" s="208">
        <v>5687.1166833333336</v>
      </c>
      <c r="Y28" s="215" t="s">
        <v>778</v>
      </c>
      <c r="Z28" s="215" t="s">
        <v>452</v>
      </c>
      <c r="AA28" s="215" t="s">
        <v>452</v>
      </c>
      <c r="AB28" s="208">
        <v>6824.5400199999958</v>
      </c>
      <c r="AC28" s="215" t="s">
        <v>779</v>
      </c>
      <c r="AD28" s="208">
        <v>6824.5700200000001</v>
      </c>
      <c r="AE28" s="209"/>
      <c r="AF28" s="333" t="s">
        <v>774</v>
      </c>
      <c r="AG28" s="334"/>
      <c r="AH28" s="334"/>
      <c r="AI28" s="334"/>
      <c r="AJ28" s="334"/>
      <c r="AK28" s="335"/>
      <c r="AL28" s="221" t="s">
        <v>780</v>
      </c>
      <c r="AM28" s="219" t="s">
        <v>781</v>
      </c>
      <c r="AN28" s="222">
        <v>44181</v>
      </c>
      <c r="AO28" s="215" t="s">
        <v>782</v>
      </c>
      <c r="AP28" s="210">
        <v>44186</v>
      </c>
      <c r="AQ28" s="210">
        <v>44186</v>
      </c>
      <c r="AR28" s="210">
        <v>44186</v>
      </c>
      <c r="AS28" s="210">
        <v>44186</v>
      </c>
      <c r="AT28" s="210">
        <v>44681</v>
      </c>
      <c r="AU28" s="207"/>
      <c r="AV28" s="220" t="s">
        <v>783</v>
      </c>
    </row>
    <row r="42" spans="1:1" x14ac:dyDescent="0.25">
      <c r="A42" s="61" t="s">
        <v>437</v>
      </c>
    </row>
  </sheetData>
  <mergeCells count="83">
    <mergeCell ref="AM22:AM23"/>
    <mergeCell ref="C21:C23"/>
    <mergeCell ref="D21:D23"/>
    <mergeCell ref="AJ22:AJ23"/>
    <mergeCell ref="AK22:AK23"/>
    <mergeCell ref="E22:E23"/>
    <mergeCell ref="F22:F23"/>
    <mergeCell ref="G22:G23"/>
    <mergeCell ref="H22:H23"/>
    <mergeCell ref="I22:I23"/>
    <mergeCell ref="J22:J23"/>
    <mergeCell ref="V21:V23"/>
    <mergeCell ref="W21:W23"/>
    <mergeCell ref="K22:K23"/>
    <mergeCell ref="Q21:Q23"/>
    <mergeCell ref="AN22:AN23"/>
    <mergeCell ref="AL26:AO26"/>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19:AV19"/>
    <mergeCell ref="A20:AV20"/>
    <mergeCell ref="AD21:AD23"/>
    <mergeCell ref="AE21:AE23"/>
    <mergeCell ref="S21:T21"/>
    <mergeCell ref="X21:X23"/>
    <mergeCell ref="AH22:AI22"/>
    <mergeCell ref="AS21:AS23"/>
    <mergeCell ref="A21:A23"/>
    <mergeCell ref="T22:T23"/>
    <mergeCell ref="L22:L23"/>
    <mergeCell ref="S22:S23"/>
    <mergeCell ref="AC21:AC23"/>
    <mergeCell ref="U21:U23"/>
    <mergeCell ref="P21:P23"/>
    <mergeCell ref="AO22:AO23"/>
    <mergeCell ref="T15:AD15"/>
    <mergeCell ref="T16:AD16"/>
    <mergeCell ref="T18:AD18"/>
    <mergeCell ref="O17:AK17"/>
    <mergeCell ref="A5:AV5"/>
    <mergeCell ref="D6:I6"/>
    <mergeCell ref="T7:AD7"/>
    <mergeCell ref="T8:AD8"/>
    <mergeCell ref="T9:AD9"/>
    <mergeCell ref="B25:B28"/>
    <mergeCell ref="C25:C28"/>
    <mergeCell ref="D25:D28"/>
    <mergeCell ref="E25:E28"/>
    <mergeCell ref="T10:AD10"/>
    <mergeCell ref="B21:B23"/>
    <mergeCell ref="T12:AD12"/>
    <mergeCell ref="T13:AD13"/>
    <mergeCell ref="E21:L21"/>
    <mergeCell ref="M21:M23"/>
    <mergeCell ref="Z21:Z23"/>
    <mergeCell ref="N21:N23"/>
    <mergeCell ref="O21:O23"/>
    <mergeCell ref="T11:AD11"/>
    <mergeCell ref="R21:R23"/>
    <mergeCell ref="T14:AD14"/>
    <mergeCell ref="K25:K28"/>
    <mergeCell ref="L25:L28"/>
    <mergeCell ref="AL25:AO25"/>
    <mergeCell ref="F25:F28"/>
    <mergeCell ref="G25:G28"/>
    <mergeCell ref="H25:H28"/>
    <mergeCell ref="I25:I28"/>
    <mergeCell ref="J25:J28"/>
    <mergeCell ref="O25:O28"/>
    <mergeCell ref="AF27:AK27"/>
    <mergeCell ref="AF28:AK28"/>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tabSelected="1" view="pageBreakPreview" topLeftCell="A6" zoomScale="70" zoomScaleNormal="90" zoomScaleSheetLayoutView="70" workbookViewId="0">
      <selection activeCell="B31" sqref="B31"/>
    </sheetView>
  </sheetViews>
  <sheetFormatPr defaultColWidth="9.140625" defaultRowHeight="15.75" x14ac:dyDescent="0.25"/>
  <cols>
    <col min="1" max="2" width="66.140625" style="4" customWidth="1"/>
    <col min="3" max="4" width="9.140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6"/>
    </row>
    <row r="5" spans="1:8" ht="18.75" x14ac:dyDescent="0.3">
      <c r="A5" s="365" t="str">
        <f>'1. паспорт местоположение'!$A$5</f>
        <v>Год раскрытия информации: 2025 год</v>
      </c>
      <c r="B5" s="365"/>
      <c r="C5" s="3"/>
      <c r="D5" s="3"/>
      <c r="E5" s="3"/>
      <c r="F5" s="3"/>
      <c r="G5" s="3"/>
      <c r="H5" s="3"/>
    </row>
    <row r="6" spans="1:8" ht="18.75" x14ac:dyDescent="0.3">
      <c r="A6" s="10"/>
      <c r="B6" s="10"/>
      <c r="C6" s="10"/>
      <c r="D6" s="10"/>
      <c r="E6" s="10"/>
      <c r="F6" s="10"/>
      <c r="G6" s="10"/>
      <c r="H6" s="10"/>
    </row>
    <row r="7" spans="1:8" ht="18.75" x14ac:dyDescent="0.25">
      <c r="A7" s="240" t="s">
        <v>5</v>
      </c>
      <c r="B7" s="240"/>
      <c r="C7" s="17"/>
      <c r="D7" s="17"/>
      <c r="E7" s="17"/>
      <c r="F7" s="17"/>
      <c r="G7" s="17"/>
      <c r="H7" s="17"/>
    </row>
    <row r="8" spans="1:8" ht="18.75" x14ac:dyDescent="0.25">
      <c r="A8" s="17"/>
      <c r="B8" s="17"/>
      <c r="C8" s="17"/>
      <c r="D8" s="17"/>
      <c r="E8" s="17"/>
      <c r="F8" s="17"/>
      <c r="G8" s="17"/>
      <c r="H8" s="17"/>
    </row>
    <row r="9" spans="1:8" x14ac:dyDescent="0.25">
      <c r="A9" s="241" t="s">
        <v>264</v>
      </c>
      <c r="B9" s="241"/>
      <c r="C9" s="18"/>
      <c r="D9" s="18"/>
      <c r="E9" s="18"/>
      <c r="F9" s="18"/>
      <c r="G9" s="18"/>
      <c r="H9" s="18"/>
    </row>
    <row r="10" spans="1:8" x14ac:dyDescent="0.25">
      <c r="A10" s="246" t="s">
        <v>4</v>
      </c>
      <c r="B10" s="246"/>
      <c r="C10" s="15"/>
      <c r="D10" s="15"/>
      <c r="E10" s="15"/>
      <c r="F10" s="15"/>
      <c r="G10" s="15"/>
      <c r="H10" s="15"/>
    </row>
    <row r="11" spans="1:8" ht="18.75" x14ac:dyDescent="0.25">
      <c r="A11" s="17"/>
      <c r="B11" s="17"/>
      <c r="C11" s="17"/>
      <c r="D11" s="17"/>
      <c r="E11" s="17"/>
      <c r="F11" s="17"/>
      <c r="G11" s="17"/>
      <c r="H11" s="17"/>
    </row>
    <row r="12" spans="1:8" ht="30.75" customHeight="1" x14ac:dyDescent="0.25">
      <c r="A12" s="241" t="str">
        <f>'1. паспорт местоположение'!$A$12</f>
        <v>L_Che370</v>
      </c>
      <c r="B12" s="241"/>
      <c r="C12" s="18"/>
      <c r="D12" s="18"/>
      <c r="E12" s="18"/>
      <c r="F12" s="18"/>
      <c r="G12" s="18"/>
      <c r="H12" s="18"/>
    </row>
    <row r="13" spans="1:8" x14ac:dyDescent="0.25">
      <c r="A13" s="246" t="s">
        <v>3</v>
      </c>
      <c r="B13" s="246"/>
      <c r="C13" s="15"/>
      <c r="D13" s="15"/>
      <c r="E13" s="15"/>
      <c r="F13" s="15"/>
      <c r="G13" s="15"/>
      <c r="H13" s="15"/>
    </row>
    <row r="14" spans="1:8" ht="18.75" x14ac:dyDescent="0.25">
      <c r="A14" s="2"/>
      <c r="B14" s="2"/>
      <c r="C14" s="2"/>
      <c r="D14" s="2"/>
      <c r="E14" s="2"/>
      <c r="F14" s="2"/>
      <c r="G14" s="2"/>
      <c r="H14" s="2"/>
    </row>
    <row r="15" spans="1:8" ht="35.25" customHeight="1" x14ac:dyDescent="0.25">
      <c r="A15" s="247" t="str">
        <f>'1. паспорт местоположение'!$A$15</f>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
      <c r="B15" s="247"/>
      <c r="C15" s="18"/>
      <c r="D15" s="18"/>
      <c r="E15" s="18"/>
      <c r="F15" s="18"/>
      <c r="G15" s="18"/>
      <c r="H15" s="18"/>
    </row>
    <row r="16" spans="1:8" x14ac:dyDescent="0.25">
      <c r="A16" s="246" t="s">
        <v>2</v>
      </c>
      <c r="B16" s="246"/>
      <c r="C16" s="15"/>
      <c r="D16" s="15"/>
      <c r="E16" s="15"/>
      <c r="F16" s="15"/>
      <c r="G16" s="15"/>
      <c r="H16" s="15"/>
    </row>
    <row r="17" spans="1:2" x14ac:dyDescent="0.25">
      <c r="B17" s="87"/>
    </row>
    <row r="18" spans="1:2" ht="33.75" customHeight="1" x14ac:dyDescent="0.25">
      <c r="A18" s="363" t="s">
        <v>256</v>
      </c>
      <c r="B18" s="364"/>
    </row>
    <row r="19" spans="1:2" x14ac:dyDescent="0.25">
      <c r="B19" s="86"/>
    </row>
    <row r="20" spans="1:2" x14ac:dyDescent="0.25">
      <c r="B20" s="88"/>
    </row>
    <row r="21" spans="1:2" ht="75" x14ac:dyDescent="0.25">
      <c r="A21" s="159" t="s">
        <v>148</v>
      </c>
      <c r="B21" s="89" t="str">
        <f>'1. паспорт местоположение'!A15</f>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
    </row>
    <row r="22" spans="1:2" x14ac:dyDescent="0.25">
      <c r="A22" s="160" t="s">
        <v>149</v>
      </c>
      <c r="B22" s="89" t="str">
        <f>'1. паспорт местоположение'!C27</f>
        <v>Грозненский район</v>
      </c>
    </row>
    <row r="23" spans="1:2" x14ac:dyDescent="0.25">
      <c r="A23" s="160" t="s">
        <v>145</v>
      </c>
      <c r="B23" s="89" t="str">
        <f>'1. паспорт местоположение'!C22</f>
        <v>Прочее новое строительство объектов электросетевого хозяйства</v>
      </c>
    </row>
    <row r="24" spans="1:2" x14ac:dyDescent="0.25">
      <c r="A24" s="160" t="s">
        <v>150</v>
      </c>
      <c r="B24" s="90" t="s">
        <v>760</v>
      </c>
    </row>
    <row r="25" spans="1:2" x14ac:dyDescent="0.25">
      <c r="A25" s="161" t="s">
        <v>151</v>
      </c>
      <c r="B25" s="200">
        <f>VLOOKUP($A$12,'[1]6.2. отчет'!$D:$OM,400,0)</f>
        <v>2023</v>
      </c>
    </row>
    <row r="26" spans="1:2" x14ac:dyDescent="0.25">
      <c r="A26" s="161" t="s">
        <v>152</v>
      </c>
      <c r="B26" s="203" t="str">
        <f>'3.3 паспорт описание'!C30</f>
        <v>з</v>
      </c>
    </row>
    <row r="27" spans="1:2" ht="18.75" customHeight="1" x14ac:dyDescent="0.25">
      <c r="A27" s="162" t="s">
        <v>449</v>
      </c>
      <c r="B27" s="203">
        <f>VLOOKUP($A$12,'[1]6.2. отчет'!$D:$OT,407,0)</f>
        <v>188.67278637200002</v>
      </c>
    </row>
    <row r="28" spans="1:2" x14ac:dyDescent="0.25">
      <c r="A28" s="163" t="s">
        <v>153</v>
      </c>
      <c r="B28" s="163" t="s">
        <v>458</v>
      </c>
    </row>
    <row r="29" spans="1:2" ht="18" customHeight="1" x14ac:dyDescent="0.25">
      <c r="A29" s="162" t="s">
        <v>154</v>
      </c>
      <c r="B29" s="185">
        <f>B30</f>
        <v>178.93483952</v>
      </c>
    </row>
    <row r="30" spans="1:2" ht="28.5" x14ac:dyDescent="0.25">
      <c r="A30" s="162" t="s">
        <v>155</v>
      </c>
      <c r="B30" s="186">
        <f>B36+B46+B51+B56</f>
        <v>178.93483952</v>
      </c>
    </row>
    <row r="31" spans="1:2" x14ac:dyDescent="0.25">
      <c r="A31" s="163" t="s">
        <v>156</v>
      </c>
      <c r="B31" s="163"/>
    </row>
    <row r="32" spans="1:2" ht="36.75" customHeight="1" x14ac:dyDescent="0.25">
      <c r="A32" s="162" t="s">
        <v>157</v>
      </c>
      <c r="B32" s="212" t="s">
        <v>792</v>
      </c>
    </row>
    <row r="33" spans="1:4" x14ac:dyDescent="0.25">
      <c r="A33" s="163" t="s">
        <v>480</v>
      </c>
      <c r="B33" s="173">
        <f>'7. Паспорт отчет о закупке'!AD26/1000</f>
        <v>638.18601000000001</v>
      </c>
    </row>
    <row r="34" spans="1:4" x14ac:dyDescent="0.25">
      <c r="A34" s="163" t="s">
        <v>159</v>
      </c>
      <c r="B34" s="177">
        <f>B36/(B27-B57)</f>
        <v>0.89777731700217722</v>
      </c>
    </row>
    <row r="35" spans="1:4" x14ac:dyDescent="0.25">
      <c r="A35" s="163" t="s">
        <v>160</v>
      </c>
      <c r="B35" s="173">
        <v>160.64513110999999</v>
      </c>
      <c r="D35" s="168"/>
    </row>
    <row r="36" spans="1:4" x14ac:dyDescent="0.25">
      <c r="A36" s="163" t="s">
        <v>161</v>
      </c>
      <c r="B36" s="173">
        <v>160.64513110999999</v>
      </c>
    </row>
    <row r="37" spans="1:4" ht="28.5" x14ac:dyDescent="0.25">
      <c r="A37" s="162" t="s">
        <v>162</v>
      </c>
      <c r="B37" s="163" t="s">
        <v>294</v>
      </c>
    </row>
    <row r="38" spans="1:4" x14ac:dyDescent="0.25">
      <c r="A38" s="163" t="s">
        <v>158</v>
      </c>
      <c r="B38" s="163" t="s">
        <v>294</v>
      </c>
    </row>
    <row r="39" spans="1:4" x14ac:dyDescent="0.25">
      <c r="A39" s="163" t="s">
        <v>159</v>
      </c>
      <c r="B39" s="163" t="s">
        <v>294</v>
      </c>
    </row>
    <row r="40" spans="1:4" x14ac:dyDescent="0.25">
      <c r="A40" s="163" t="s">
        <v>160</v>
      </c>
      <c r="B40" s="163" t="s">
        <v>294</v>
      </c>
    </row>
    <row r="41" spans="1:4" x14ac:dyDescent="0.25">
      <c r="A41" s="163" t="s">
        <v>161</v>
      </c>
      <c r="B41" s="163" t="s">
        <v>294</v>
      </c>
    </row>
    <row r="42" spans="1:4" ht="28.5" x14ac:dyDescent="0.25">
      <c r="A42" s="162" t="s">
        <v>163</v>
      </c>
      <c r="B42" s="175" t="s">
        <v>791</v>
      </c>
    </row>
    <row r="43" spans="1:4" x14ac:dyDescent="0.25">
      <c r="A43" s="163" t="s">
        <v>787</v>
      </c>
      <c r="B43" s="173">
        <f>'7. Паспорт отчет о закупке'!AD25/1000</f>
        <v>143.93950169999999</v>
      </c>
    </row>
    <row r="44" spans="1:4" x14ac:dyDescent="0.25">
      <c r="A44" s="163" t="s">
        <v>159</v>
      </c>
      <c r="B44" s="166">
        <f>14.66/(B27-B57)</f>
        <v>8.1928505248252959E-2</v>
      </c>
    </row>
    <row r="45" spans="1:4" x14ac:dyDescent="0.25">
      <c r="A45" s="163" t="s">
        <v>160</v>
      </c>
      <c r="B45" s="91">
        <v>14.66</v>
      </c>
    </row>
    <row r="46" spans="1:4" x14ac:dyDescent="0.25">
      <c r="A46" s="163" t="s">
        <v>161</v>
      </c>
      <c r="B46" s="173">
        <v>14.66</v>
      </c>
    </row>
    <row r="47" spans="1:4" ht="28.5" x14ac:dyDescent="0.25">
      <c r="A47" s="175" t="s">
        <v>163</v>
      </c>
      <c r="B47" s="185" t="s">
        <v>790</v>
      </c>
    </row>
    <row r="48" spans="1:4" x14ac:dyDescent="0.25">
      <c r="A48" s="163" t="s">
        <v>786</v>
      </c>
      <c r="B48" s="173">
        <f>'7. Паспорт отчет о закупке'!AD27/1000</f>
        <v>52.484580020000003</v>
      </c>
    </row>
    <row r="49" spans="1:5" x14ac:dyDescent="0.25">
      <c r="A49" s="163" t="s">
        <v>159</v>
      </c>
      <c r="B49" s="92">
        <f>B51/(B27-B57)</f>
        <v>1.8853323694433287E-2</v>
      </c>
    </row>
    <row r="50" spans="1:5" x14ac:dyDescent="0.25">
      <c r="A50" s="163" t="s">
        <v>160</v>
      </c>
      <c r="B50" s="173">
        <v>3.3735477600000001</v>
      </c>
      <c r="D50" s="168"/>
    </row>
    <row r="51" spans="1:5" x14ac:dyDescent="0.25">
      <c r="A51" s="163" t="s">
        <v>161</v>
      </c>
      <c r="B51" s="173">
        <v>3.3735477600000001</v>
      </c>
    </row>
    <row r="52" spans="1:5" ht="28.5" x14ac:dyDescent="0.25">
      <c r="A52" s="175" t="s">
        <v>163</v>
      </c>
      <c r="B52" s="212" t="s">
        <v>788</v>
      </c>
    </row>
    <row r="53" spans="1:5" x14ac:dyDescent="0.25">
      <c r="A53" s="163" t="s">
        <v>785</v>
      </c>
      <c r="B53" s="173">
        <f>'7. Паспорт отчет о закупке'!AD28/1000</f>
        <v>6.8245700200000003</v>
      </c>
    </row>
    <row r="54" spans="1:5" x14ac:dyDescent="0.25">
      <c r="A54" s="163" t="s">
        <v>159</v>
      </c>
      <c r="B54" s="213">
        <f>B56/(B27-B57)</f>
        <v>1.4315729302810973E-3</v>
      </c>
    </row>
    <row r="55" spans="1:5" x14ac:dyDescent="0.25">
      <c r="A55" s="163" t="s">
        <v>160</v>
      </c>
      <c r="B55" s="173">
        <v>0.25616064999999999</v>
      </c>
      <c r="D55" s="168"/>
    </row>
    <row r="56" spans="1:5" x14ac:dyDescent="0.25">
      <c r="A56" s="163" t="s">
        <v>161</v>
      </c>
      <c r="B56" s="173">
        <v>0.25616064999999999</v>
      </c>
      <c r="E56" s="168"/>
    </row>
    <row r="57" spans="1:5" ht="19.5" customHeight="1" x14ac:dyDescent="0.25">
      <c r="A57" s="174" t="s">
        <v>763</v>
      </c>
      <c r="B57" s="173">
        <f>B58+B59+B60</f>
        <v>9.7362861200000008</v>
      </c>
    </row>
    <row r="58" spans="1:5" x14ac:dyDescent="0.25">
      <c r="A58" s="174" t="s">
        <v>764</v>
      </c>
      <c r="B58" s="204">
        <f>1.07140732+1.11164569+1.508746+1.41151603+1.4372977+3.19567338</f>
        <v>9.7362861200000008</v>
      </c>
    </row>
    <row r="59" spans="1:5" x14ac:dyDescent="0.25">
      <c r="A59" s="174" t="s">
        <v>765</v>
      </c>
      <c r="B59" s="204">
        <v>0</v>
      </c>
    </row>
    <row r="60" spans="1:5" x14ac:dyDescent="0.25">
      <c r="A60" s="174" t="s">
        <v>79</v>
      </c>
      <c r="B60" s="205">
        <v>0</v>
      </c>
    </row>
    <row r="61" spans="1:5" ht="28.5" x14ac:dyDescent="0.25">
      <c r="A61" s="161" t="s">
        <v>164</v>
      </c>
      <c r="B61" s="92">
        <f>B65+B63</f>
        <v>0.99999071887514446</v>
      </c>
    </row>
    <row r="62" spans="1:5" x14ac:dyDescent="0.25">
      <c r="A62" s="93" t="s">
        <v>156</v>
      </c>
      <c r="B62" s="163" t="s">
        <v>294</v>
      </c>
    </row>
    <row r="63" spans="1:5" x14ac:dyDescent="0.25">
      <c r="A63" s="93" t="s">
        <v>165</v>
      </c>
      <c r="B63" s="92">
        <f>B34+B49+B54</f>
        <v>0.91806221362689155</v>
      </c>
    </row>
    <row r="64" spans="1:5" x14ac:dyDescent="0.25">
      <c r="A64" s="93" t="s">
        <v>166</v>
      </c>
      <c r="B64" s="163" t="s">
        <v>294</v>
      </c>
    </row>
    <row r="65" spans="1:4" x14ac:dyDescent="0.25">
      <c r="A65" s="93" t="s">
        <v>167</v>
      </c>
      <c r="B65" s="92">
        <f>B44</f>
        <v>8.1928505248252959E-2</v>
      </c>
    </row>
    <row r="66" spans="1:4" x14ac:dyDescent="0.25">
      <c r="A66" s="161" t="s">
        <v>168</v>
      </c>
      <c r="B66" s="92">
        <f>B67/$B$27</f>
        <v>1</v>
      </c>
    </row>
    <row r="67" spans="1:4" x14ac:dyDescent="0.25">
      <c r="A67" s="161" t="s">
        <v>169</v>
      </c>
      <c r="B67" s="91">
        <f>'6.2. Паспорт фин осв ввод'!$D$24</f>
        <v>188.67278637200002</v>
      </c>
      <c r="C67" s="168">
        <f>B35+B45+B50+B58+B55</f>
        <v>188.67112563999999</v>
      </c>
      <c r="D67" s="168">
        <f>B67-C67</f>
        <v>1.6607320000332493E-3</v>
      </c>
    </row>
    <row r="68" spans="1:4" x14ac:dyDescent="0.25">
      <c r="A68" s="161" t="s">
        <v>170</v>
      </c>
      <c r="B68" s="92">
        <f>$B69/'6.2. Паспорт фин осв ввод'!$D$30</f>
        <v>1</v>
      </c>
      <c r="D68" s="167"/>
    </row>
    <row r="69" spans="1:4" x14ac:dyDescent="0.25">
      <c r="A69" s="161" t="s">
        <v>171</v>
      </c>
      <c r="B69" s="91">
        <f>'6.2. Паспорт фин осв ввод'!$D$30</f>
        <v>158.85003632999999</v>
      </c>
      <c r="C69" s="5">
        <f>(B36+B46+B51+B56)/1.2+B58</f>
        <v>158.84865238666666</v>
      </c>
      <c r="D69" s="168">
        <f>B69-C69</f>
        <v>1.3839433333373563E-3</v>
      </c>
    </row>
    <row r="70" spans="1:4" ht="15.75" customHeight="1" x14ac:dyDescent="0.25">
      <c r="A70" s="161" t="s">
        <v>172</v>
      </c>
      <c r="B70" s="93"/>
      <c r="D70" s="167"/>
    </row>
    <row r="71" spans="1:4" x14ac:dyDescent="0.25">
      <c r="A71" s="93" t="s">
        <v>173</v>
      </c>
      <c r="B71" s="174" t="s">
        <v>264</v>
      </c>
    </row>
    <row r="72" spans="1:4" x14ac:dyDescent="0.25">
      <c r="A72" s="93" t="s">
        <v>174</v>
      </c>
      <c r="B72" s="175" t="s">
        <v>457</v>
      </c>
    </row>
    <row r="73" spans="1:4" x14ac:dyDescent="0.25">
      <c r="A73" s="93" t="s">
        <v>175</v>
      </c>
      <c r="B73" s="175" t="s">
        <v>789</v>
      </c>
    </row>
    <row r="74" spans="1:4" x14ac:dyDescent="0.25">
      <c r="A74" s="93" t="s">
        <v>176</v>
      </c>
      <c r="B74" s="175" t="s">
        <v>481</v>
      </c>
    </row>
    <row r="75" spans="1:4" x14ac:dyDescent="0.25">
      <c r="A75" s="93" t="s">
        <v>177</v>
      </c>
      <c r="B75" s="175" t="s">
        <v>294</v>
      </c>
    </row>
    <row r="76" spans="1:4" ht="30" x14ac:dyDescent="0.25">
      <c r="A76" s="93" t="s">
        <v>178</v>
      </c>
      <c r="B76" s="163" t="s">
        <v>294</v>
      </c>
    </row>
    <row r="77" spans="1:4" ht="28.5" x14ac:dyDescent="0.25">
      <c r="A77" s="161" t="s">
        <v>179</v>
      </c>
      <c r="B77" s="163" t="s">
        <v>294</v>
      </c>
    </row>
    <row r="78" spans="1:4" x14ac:dyDescent="0.25">
      <c r="A78" s="93" t="s">
        <v>156</v>
      </c>
      <c r="B78" s="163" t="s">
        <v>294</v>
      </c>
    </row>
    <row r="79" spans="1:4" x14ac:dyDescent="0.25">
      <c r="A79" s="93" t="s">
        <v>180</v>
      </c>
      <c r="B79" s="163" t="s">
        <v>294</v>
      </c>
    </row>
    <row r="80" spans="1:4" x14ac:dyDescent="0.25">
      <c r="A80" s="93" t="s">
        <v>181</v>
      </c>
      <c r="B80" s="163" t="s">
        <v>294</v>
      </c>
    </row>
    <row r="81" spans="1:2" x14ac:dyDescent="0.25">
      <c r="A81" s="164" t="s">
        <v>182</v>
      </c>
      <c r="B81" s="163" t="s">
        <v>294</v>
      </c>
    </row>
    <row r="82" spans="1:2" x14ac:dyDescent="0.25">
      <c r="A82" s="161" t="s">
        <v>183</v>
      </c>
      <c r="B82" s="163" t="s">
        <v>294</v>
      </c>
    </row>
    <row r="83" spans="1:2" x14ac:dyDescent="0.25">
      <c r="A83" s="93" t="s">
        <v>184</v>
      </c>
      <c r="B83" s="163" t="s">
        <v>294</v>
      </c>
    </row>
    <row r="84" spans="1:2" x14ac:dyDescent="0.25">
      <c r="A84" s="93" t="s">
        <v>185</v>
      </c>
      <c r="B84" s="163" t="s">
        <v>294</v>
      </c>
    </row>
    <row r="85" spans="1:2" x14ac:dyDescent="0.25">
      <c r="A85" s="93" t="s">
        <v>186</v>
      </c>
      <c r="B85" s="163" t="s">
        <v>294</v>
      </c>
    </row>
    <row r="86" spans="1:2" ht="28.5" x14ac:dyDescent="0.25">
      <c r="A86" s="164" t="s">
        <v>187</v>
      </c>
      <c r="B86" s="93" t="str">
        <f>$B$26</f>
        <v>з</v>
      </c>
    </row>
    <row r="87" spans="1:2" ht="28.5" x14ac:dyDescent="0.25">
      <c r="A87" s="161" t="s">
        <v>188</v>
      </c>
      <c r="B87" s="163" t="s">
        <v>294</v>
      </c>
    </row>
    <row r="88" spans="1:2" x14ac:dyDescent="0.25">
      <c r="A88" s="93" t="s">
        <v>189</v>
      </c>
      <c r="B88" s="163" t="s">
        <v>294</v>
      </c>
    </row>
    <row r="89" spans="1:2" x14ac:dyDescent="0.25">
      <c r="A89" s="93" t="s">
        <v>190</v>
      </c>
      <c r="B89" s="163" t="s">
        <v>294</v>
      </c>
    </row>
    <row r="90" spans="1:2" x14ac:dyDescent="0.25">
      <c r="A90" s="93" t="s">
        <v>191</v>
      </c>
      <c r="B90" s="163" t="s">
        <v>294</v>
      </c>
    </row>
    <row r="91" spans="1:2" x14ac:dyDescent="0.25">
      <c r="A91" s="93" t="s">
        <v>192</v>
      </c>
      <c r="B91" s="163" t="s">
        <v>294</v>
      </c>
    </row>
    <row r="92" spans="1:2" x14ac:dyDescent="0.25">
      <c r="A92" s="165" t="s">
        <v>193</v>
      </c>
      <c r="B92" s="163"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39" sqref="E39"/>
    </sheetView>
  </sheetViews>
  <sheetFormatPr defaultColWidth="9.140625" defaultRowHeight="15" x14ac:dyDescent="0.25"/>
  <cols>
    <col min="1" max="1" width="7.42578125" style="122" customWidth="1"/>
    <col min="2" max="2" width="35.85546875" style="122" customWidth="1"/>
    <col min="3" max="3" width="31.140625" style="122" customWidth="1"/>
    <col min="4" max="4" width="25" style="122" customWidth="1"/>
    <col min="5" max="5" width="50" style="122" customWidth="1"/>
    <col min="6" max="6" width="57" style="122" customWidth="1"/>
    <col min="7" max="7" width="57.5703125" style="122" customWidth="1"/>
    <col min="8" max="10" width="20.5703125" style="122" customWidth="1"/>
    <col min="11" max="11" width="16" style="122" customWidth="1"/>
    <col min="12" max="12" width="20.5703125" style="122" customWidth="1"/>
    <col min="13" max="13" width="21.28515625" style="122" customWidth="1"/>
    <col min="14" max="14" width="23.85546875" style="122" customWidth="1"/>
    <col min="15" max="15" width="17.85546875" style="122" customWidth="1"/>
    <col min="16" max="16" width="23.85546875" style="122" customWidth="1"/>
    <col min="17" max="17" width="58" style="122" customWidth="1"/>
    <col min="18" max="18" width="27" style="122" customWidth="1"/>
    <col min="19" max="19" width="43" style="122" customWidth="1"/>
    <col min="20" max="16384" width="9.140625" style="122"/>
  </cols>
  <sheetData>
    <row r="1" spans="1:22" s="77" customFormat="1" ht="18.75" customHeight="1" x14ac:dyDescent="0.2">
      <c r="A1" s="19"/>
      <c r="S1" s="16" t="s">
        <v>22</v>
      </c>
    </row>
    <row r="2" spans="1:22" s="77" customFormat="1" ht="18.75" customHeight="1" x14ac:dyDescent="0.3">
      <c r="A2" s="19"/>
      <c r="S2" s="14" t="s">
        <v>6</v>
      </c>
    </row>
    <row r="3" spans="1:22" s="77" customFormat="1" ht="24" customHeight="1" x14ac:dyDescent="0.3">
      <c r="S3" s="14" t="s">
        <v>21</v>
      </c>
    </row>
    <row r="4" spans="1:22" s="77" customFormat="1" ht="15.75" x14ac:dyDescent="0.25">
      <c r="D4" s="12"/>
      <c r="E4" s="12"/>
      <c r="F4" s="12"/>
      <c r="G4" s="12"/>
      <c r="H4" s="12"/>
      <c r="I4" s="12"/>
      <c r="J4" s="12"/>
    </row>
    <row r="5" spans="1:22" s="77" customFormat="1" ht="18.75" x14ac:dyDescent="0.3">
      <c r="H5" s="14"/>
    </row>
    <row r="6" spans="1:22" s="77" customFormat="1" ht="18.75" x14ac:dyDescent="0.2">
      <c r="D6" s="17"/>
      <c r="E6" s="17"/>
      <c r="F6" s="17"/>
      <c r="G6" s="17"/>
      <c r="H6" s="17"/>
      <c r="I6" s="17"/>
      <c r="J6" s="17"/>
      <c r="K6" s="17"/>
      <c r="L6" s="17"/>
      <c r="M6" s="17"/>
      <c r="N6" s="17"/>
      <c r="O6" s="17"/>
      <c r="P6" s="17"/>
      <c r="Q6" s="17"/>
      <c r="R6" s="17"/>
      <c r="S6" s="17"/>
      <c r="T6" s="17"/>
      <c r="U6" s="17"/>
      <c r="V6" s="17"/>
    </row>
    <row r="7" spans="1:22" s="77" customFormat="1" ht="18.75" x14ac:dyDescent="0.2">
      <c r="D7" s="82"/>
      <c r="E7" s="82"/>
      <c r="F7" s="82"/>
      <c r="G7" s="82"/>
      <c r="H7" s="82"/>
      <c r="I7" s="17"/>
      <c r="J7" s="17"/>
      <c r="K7" s="17"/>
      <c r="L7" s="17"/>
      <c r="M7" s="17"/>
      <c r="N7" s="17"/>
      <c r="O7" s="17"/>
      <c r="P7" s="17"/>
      <c r="Q7" s="17"/>
      <c r="R7" s="17"/>
      <c r="S7" s="17"/>
      <c r="T7" s="17"/>
      <c r="U7" s="17"/>
      <c r="V7" s="17"/>
    </row>
    <row r="8" spans="1:22" s="77" customFormat="1" ht="18.75" x14ac:dyDescent="0.2">
      <c r="D8" s="18"/>
      <c r="E8" s="18"/>
      <c r="F8" s="18"/>
      <c r="G8" s="18"/>
      <c r="H8" s="18"/>
      <c r="I8" s="17"/>
      <c r="J8" s="17"/>
      <c r="K8" s="17"/>
      <c r="L8" s="17"/>
      <c r="M8" s="17"/>
      <c r="N8" s="17"/>
      <c r="O8" s="17"/>
      <c r="P8" s="17"/>
      <c r="Q8" s="17"/>
      <c r="R8" s="17"/>
      <c r="S8" s="17"/>
      <c r="T8" s="17"/>
      <c r="U8" s="17"/>
      <c r="V8" s="17"/>
    </row>
    <row r="9" spans="1:22" s="77" customFormat="1" ht="18.75" x14ac:dyDescent="0.2">
      <c r="D9" s="15"/>
      <c r="E9" s="15"/>
      <c r="F9" s="236" t="str">
        <f>'1. паспорт местоположение'!$A$5</f>
        <v>Год раскрытия информации: 2025 год</v>
      </c>
      <c r="G9" s="236"/>
      <c r="H9" s="236"/>
      <c r="I9" s="17"/>
      <c r="J9" s="17"/>
      <c r="K9" s="17"/>
      <c r="L9" s="17"/>
      <c r="M9" s="17"/>
      <c r="N9" s="17"/>
      <c r="O9" s="17"/>
      <c r="P9" s="17"/>
      <c r="Q9" s="17"/>
      <c r="R9" s="17"/>
      <c r="S9" s="17"/>
      <c r="T9" s="17"/>
      <c r="U9" s="17"/>
      <c r="V9" s="17"/>
    </row>
    <row r="10" spans="1:22" s="77" customFormat="1" ht="18.75" x14ac:dyDescent="0.2">
      <c r="D10" s="82"/>
      <c r="E10" s="82"/>
      <c r="F10" s="13"/>
      <c r="I10" s="17"/>
      <c r="J10" s="17"/>
      <c r="K10" s="17"/>
      <c r="L10" s="17"/>
      <c r="M10" s="17"/>
      <c r="N10" s="17"/>
      <c r="O10" s="17"/>
      <c r="P10" s="17"/>
      <c r="Q10" s="17"/>
      <c r="R10" s="17"/>
      <c r="S10" s="17"/>
      <c r="T10" s="17"/>
      <c r="U10" s="17"/>
      <c r="V10" s="17"/>
    </row>
    <row r="11" spans="1:22" s="77" customFormat="1" ht="18.75" x14ac:dyDescent="0.2">
      <c r="D11" s="18"/>
      <c r="E11" s="18"/>
      <c r="F11" s="240" t="s">
        <v>5</v>
      </c>
      <c r="G11" s="240"/>
      <c r="H11" s="240"/>
      <c r="I11" s="17"/>
      <c r="J11" s="17"/>
      <c r="K11" s="17"/>
      <c r="L11" s="17"/>
      <c r="M11" s="17"/>
      <c r="N11" s="17"/>
      <c r="O11" s="17"/>
      <c r="P11" s="17"/>
      <c r="Q11" s="17"/>
      <c r="R11" s="17"/>
      <c r="S11" s="17"/>
      <c r="T11" s="17"/>
      <c r="U11" s="17"/>
      <c r="V11" s="17"/>
    </row>
    <row r="12" spans="1:22" s="77" customFormat="1" ht="18.75" x14ac:dyDescent="0.2">
      <c r="D12" s="15"/>
      <c r="E12" s="15"/>
      <c r="F12" s="82"/>
      <c r="G12" s="82"/>
      <c r="H12" s="82"/>
      <c r="I12" s="17"/>
      <c r="J12" s="17"/>
      <c r="K12" s="17"/>
      <c r="L12" s="17"/>
      <c r="M12" s="17"/>
      <c r="N12" s="17"/>
      <c r="O12" s="17"/>
      <c r="P12" s="17"/>
      <c r="Q12" s="17"/>
      <c r="R12" s="17"/>
      <c r="S12" s="17"/>
      <c r="T12" s="17"/>
      <c r="U12" s="17"/>
      <c r="V12" s="17"/>
    </row>
    <row r="13" spans="1:22" s="80" customFormat="1" ht="15.75" customHeight="1" x14ac:dyDescent="0.2">
      <c r="D13" s="1"/>
      <c r="E13" s="1"/>
      <c r="F13" s="241" t="s">
        <v>264</v>
      </c>
      <c r="G13" s="241"/>
      <c r="H13" s="241"/>
      <c r="I13" s="1"/>
      <c r="J13" s="1"/>
      <c r="K13" s="1"/>
      <c r="L13" s="1"/>
      <c r="M13" s="1"/>
      <c r="N13" s="1"/>
      <c r="O13" s="1"/>
      <c r="P13" s="1"/>
      <c r="Q13" s="1"/>
      <c r="R13" s="1"/>
      <c r="S13" s="1"/>
      <c r="T13" s="1"/>
      <c r="U13" s="1"/>
      <c r="V13" s="1"/>
    </row>
    <row r="14" spans="1:22" s="25" customFormat="1" ht="15.75" x14ac:dyDescent="0.2">
      <c r="D14" s="18"/>
      <c r="E14" s="18"/>
      <c r="F14" s="246" t="s">
        <v>4</v>
      </c>
      <c r="G14" s="246"/>
      <c r="H14" s="246"/>
      <c r="I14" s="18"/>
      <c r="J14" s="18"/>
      <c r="K14" s="18"/>
      <c r="L14" s="18"/>
      <c r="M14" s="18"/>
      <c r="N14" s="18"/>
      <c r="O14" s="18"/>
      <c r="P14" s="18"/>
      <c r="Q14" s="18"/>
      <c r="R14" s="18"/>
      <c r="S14" s="18"/>
      <c r="T14" s="18"/>
      <c r="U14" s="18"/>
      <c r="V14" s="18"/>
    </row>
    <row r="15" spans="1:22" s="25" customFormat="1" ht="15" customHeight="1" x14ac:dyDescent="0.2">
      <c r="D15" s="15"/>
      <c r="E15" s="15"/>
      <c r="F15" s="82"/>
      <c r="G15" s="82"/>
      <c r="H15" s="82"/>
      <c r="I15" s="15"/>
      <c r="J15" s="15"/>
      <c r="K15" s="15"/>
      <c r="L15" s="15"/>
      <c r="M15" s="15"/>
      <c r="N15" s="15"/>
      <c r="O15" s="15"/>
      <c r="P15" s="15"/>
      <c r="Q15" s="15"/>
      <c r="R15" s="15"/>
      <c r="S15" s="15"/>
      <c r="T15" s="15"/>
      <c r="U15" s="15"/>
      <c r="V15" s="15"/>
    </row>
    <row r="16" spans="1:22" s="77" customFormat="1" ht="18.75" customHeight="1" x14ac:dyDescent="0.2">
      <c r="A16" s="236"/>
      <c r="B16" s="236"/>
      <c r="C16" s="236"/>
      <c r="D16" s="236"/>
      <c r="E16" s="236"/>
      <c r="F16" s="241" t="str">
        <f>'1. паспорт местоположение'!$A$12</f>
        <v>L_Che370</v>
      </c>
      <c r="G16" s="241"/>
      <c r="H16" s="241"/>
      <c r="I16" s="236"/>
      <c r="J16" s="236"/>
      <c r="K16" s="236"/>
      <c r="L16" s="236"/>
      <c r="M16" s="236"/>
      <c r="N16" s="236"/>
      <c r="O16" s="236"/>
      <c r="P16" s="236"/>
      <c r="Q16" s="236"/>
      <c r="R16" s="236"/>
      <c r="S16" s="236"/>
    </row>
    <row r="17" spans="1:28" s="77" customFormat="1" ht="15.75" customHeight="1" x14ac:dyDescent="0.2">
      <c r="A17" s="236"/>
      <c r="B17" s="236"/>
      <c r="C17" s="236"/>
      <c r="D17" s="236"/>
      <c r="E17" s="236"/>
      <c r="F17" s="246" t="s">
        <v>3</v>
      </c>
      <c r="G17" s="246"/>
      <c r="H17" s="246"/>
      <c r="I17" s="236"/>
      <c r="J17" s="236"/>
      <c r="K17" s="236"/>
      <c r="L17" s="236"/>
      <c r="M17" s="236"/>
      <c r="N17" s="236"/>
      <c r="O17" s="236"/>
      <c r="P17" s="236"/>
      <c r="Q17" s="236"/>
      <c r="R17" s="236"/>
      <c r="S17" s="236"/>
    </row>
    <row r="18" spans="1:28" s="77" customFormat="1" ht="18.75" x14ac:dyDescent="0.2">
      <c r="A18" s="236"/>
      <c r="B18" s="236"/>
      <c r="C18" s="236"/>
      <c r="D18" s="236"/>
      <c r="E18" s="236"/>
      <c r="F18" s="1"/>
      <c r="G18" s="1"/>
      <c r="H18" s="1"/>
      <c r="I18" s="236"/>
      <c r="J18" s="236"/>
      <c r="K18" s="236"/>
      <c r="L18" s="236"/>
      <c r="M18" s="236"/>
      <c r="N18" s="236"/>
      <c r="O18" s="236"/>
      <c r="P18" s="236"/>
      <c r="Q18" s="236"/>
      <c r="R18" s="236"/>
      <c r="S18" s="236"/>
      <c r="T18" s="17"/>
      <c r="U18" s="17"/>
      <c r="V18" s="17"/>
      <c r="W18" s="17"/>
      <c r="X18" s="17"/>
      <c r="Y18" s="17"/>
      <c r="Z18" s="17"/>
      <c r="AA18" s="17"/>
      <c r="AB18" s="17"/>
    </row>
    <row r="19" spans="1:28" s="77" customFormat="1" ht="105.75" customHeight="1" x14ac:dyDescent="0.2">
      <c r="A19" s="236"/>
      <c r="B19" s="236"/>
      <c r="C19" s="236"/>
      <c r="D19" s="236"/>
      <c r="E19" s="236"/>
      <c r="F19" s="247" t="str">
        <f>'1. паспорт местоположение'!$A$15</f>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
      <c r="G19" s="247"/>
      <c r="H19" s="247"/>
      <c r="I19" s="236"/>
      <c r="J19" s="236"/>
      <c r="K19" s="236"/>
      <c r="L19" s="236"/>
      <c r="M19" s="236"/>
      <c r="N19" s="236"/>
      <c r="O19" s="236"/>
      <c r="P19" s="236"/>
      <c r="Q19" s="236"/>
      <c r="R19" s="236"/>
      <c r="S19" s="236"/>
      <c r="T19" s="17"/>
      <c r="U19" s="17"/>
      <c r="V19" s="17"/>
      <c r="W19" s="17"/>
      <c r="X19" s="17"/>
      <c r="Y19" s="17"/>
      <c r="Z19" s="17"/>
      <c r="AA19" s="17"/>
      <c r="AB19" s="17"/>
    </row>
    <row r="20" spans="1:28" s="77" customFormat="1" ht="18.75" x14ac:dyDescent="0.2">
      <c r="A20" s="236"/>
      <c r="B20" s="236"/>
      <c r="C20" s="236"/>
      <c r="D20" s="236"/>
      <c r="E20" s="236"/>
      <c r="F20" s="246" t="s">
        <v>2</v>
      </c>
      <c r="G20" s="246"/>
      <c r="H20" s="246"/>
      <c r="I20" s="236"/>
      <c r="J20" s="236"/>
      <c r="K20" s="236"/>
      <c r="L20" s="236"/>
      <c r="M20" s="236"/>
      <c r="N20" s="236"/>
      <c r="O20" s="236"/>
      <c r="P20" s="236"/>
      <c r="Q20" s="236"/>
      <c r="R20" s="236"/>
      <c r="S20" s="236"/>
      <c r="T20" s="17"/>
      <c r="U20" s="17"/>
      <c r="V20" s="17"/>
      <c r="W20" s="17"/>
      <c r="X20" s="17"/>
      <c r="Y20" s="17"/>
      <c r="Z20" s="17"/>
      <c r="AA20" s="17"/>
      <c r="AB20" s="17"/>
    </row>
    <row r="21" spans="1:28" s="77" customFormat="1" ht="18.75" x14ac:dyDescent="0.2">
      <c r="A21" s="236"/>
      <c r="B21" s="236"/>
      <c r="C21" s="236"/>
      <c r="D21" s="236"/>
      <c r="E21" s="236"/>
      <c r="F21" s="246"/>
      <c r="G21" s="246"/>
      <c r="H21" s="246"/>
      <c r="I21" s="236"/>
      <c r="J21" s="236"/>
      <c r="K21" s="236"/>
      <c r="L21" s="236"/>
      <c r="M21" s="236"/>
      <c r="N21" s="236"/>
      <c r="O21" s="236"/>
      <c r="P21" s="236"/>
      <c r="Q21" s="236"/>
      <c r="R21" s="236"/>
      <c r="S21" s="236"/>
      <c r="T21" s="17"/>
      <c r="U21" s="17"/>
      <c r="V21" s="17"/>
      <c r="W21" s="17"/>
      <c r="X21" s="17"/>
      <c r="Y21" s="17"/>
      <c r="Z21" s="17"/>
      <c r="AA21" s="17"/>
      <c r="AB21" s="17"/>
    </row>
    <row r="22" spans="1:28" s="25" customFormat="1" ht="15" customHeight="1" x14ac:dyDescent="0.2">
      <c r="A22" s="236"/>
      <c r="B22" s="236"/>
      <c r="C22" s="236"/>
      <c r="D22" s="236"/>
      <c r="E22" s="236"/>
      <c r="F22" s="246"/>
      <c r="G22" s="246"/>
      <c r="H22" s="246"/>
      <c r="I22" s="236"/>
      <c r="J22" s="236"/>
      <c r="K22" s="236"/>
      <c r="L22" s="236"/>
      <c r="M22" s="236"/>
      <c r="N22" s="236"/>
      <c r="O22" s="236"/>
      <c r="P22" s="236"/>
      <c r="Q22" s="236"/>
      <c r="R22" s="236"/>
      <c r="S22" s="236"/>
      <c r="T22" s="15"/>
      <c r="U22" s="15"/>
      <c r="V22" s="15"/>
      <c r="W22" s="15"/>
      <c r="X22" s="15"/>
      <c r="Y22" s="15"/>
      <c r="Z22" s="15"/>
      <c r="AA22" s="15"/>
      <c r="AB22" s="15"/>
    </row>
    <row r="23" spans="1:28" s="25" customFormat="1" ht="15" customHeight="1" x14ac:dyDescent="0.2">
      <c r="A23" s="236"/>
      <c r="B23" s="236"/>
      <c r="C23" s="236"/>
      <c r="D23" s="236"/>
      <c r="E23" s="236"/>
      <c r="F23" s="251"/>
      <c r="G23" s="251"/>
      <c r="H23" s="251"/>
      <c r="I23" s="236"/>
      <c r="J23" s="236"/>
      <c r="K23" s="236"/>
      <c r="L23" s="236"/>
      <c r="M23" s="236"/>
      <c r="N23" s="236"/>
      <c r="O23" s="236"/>
      <c r="P23" s="236"/>
      <c r="Q23" s="236"/>
      <c r="R23" s="236"/>
      <c r="S23" s="236"/>
      <c r="T23" s="78"/>
      <c r="U23" s="78"/>
      <c r="V23" s="78"/>
      <c r="W23" s="78"/>
      <c r="X23" s="78"/>
      <c r="Y23" s="78"/>
    </row>
    <row r="24" spans="1:28" s="25" customFormat="1" ht="45.75" customHeight="1" x14ac:dyDescent="0.2">
      <c r="A24" s="252" t="s">
        <v>275</v>
      </c>
      <c r="B24" s="252"/>
      <c r="C24" s="252"/>
      <c r="D24" s="252"/>
      <c r="E24" s="252"/>
      <c r="F24" s="252"/>
      <c r="G24" s="252"/>
      <c r="H24" s="252"/>
      <c r="I24" s="252"/>
      <c r="J24" s="252"/>
      <c r="K24" s="252"/>
      <c r="L24" s="252"/>
      <c r="M24" s="252"/>
      <c r="N24" s="252"/>
      <c r="O24" s="252"/>
      <c r="P24" s="252"/>
      <c r="Q24" s="252"/>
      <c r="R24" s="252"/>
      <c r="S24" s="252"/>
      <c r="T24" s="113"/>
      <c r="U24" s="113"/>
      <c r="V24" s="113"/>
      <c r="W24" s="113"/>
      <c r="X24" s="113"/>
      <c r="Y24" s="113"/>
      <c r="Z24" s="113"/>
      <c r="AA24" s="113"/>
      <c r="AB24" s="113"/>
    </row>
    <row r="25" spans="1:28" s="25" customFormat="1" ht="15" customHeight="1" x14ac:dyDescent="0.2">
      <c r="A25" s="253"/>
      <c r="B25" s="253"/>
      <c r="C25" s="253"/>
      <c r="D25" s="253"/>
      <c r="E25" s="253"/>
      <c r="F25" s="253"/>
      <c r="G25" s="253"/>
      <c r="H25" s="253"/>
      <c r="I25" s="253"/>
      <c r="J25" s="253"/>
      <c r="K25" s="253"/>
      <c r="L25" s="253"/>
      <c r="M25" s="253"/>
      <c r="N25" s="253"/>
      <c r="O25" s="253"/>
      <c r="P25" s="253"/>
      <c r="Q25" s="253"/>
      <c r="R25" s="253"/>
      <c r="S25" s="253"/>
      <c r="T25" s="78"/>
      <c r="U25" s="78"/>
      <c r="V25" s="78"/>
      <c r="W25" s="78"/>
      <c r="X25" s="78"/>
      <c r="Y25" s="78"/>
    </row>
    <row r="26" spans="1:28" s="25" customFormat="1" ht="54" customHeight="1" x14ac:dyDescent="0.2">
      <c r="A26" s="248" t="s">
        <v>1</v>
      </c>
      <c r="B26" s="248" t="s">
        <v>276</v>
      </c>
      <c r="C26" s="249" t="s">
        <v>277</v>
      </c>
      <c r="D26" s="248" t="s">
        <v>278</v>
      </c>
      <c r="E26" s="248" t="s">
        <v>279</v>
      </c>
      <c r="F26" s="248" t="s">
        <v>280</v>
      </c>
      <c r="G26" s="248" t="s">
        <v>281</v>
      </c>
      <c r="H26" s="248" t="s">
        <v>282</v>
      </c>
      <c r="I26" s="248" t="s">
        <v>283</v>
      </c>
      <c r="J26" s="248" t="s">
        <v>284</v>
      </c>
      <c r="K26" s="248" t="s">
        <v>29</v>
      </c>
      <c r="L26" s="248" t="s">
        <v>285</v>
      </c>
      <c r="M26" s="248" t="s">
        <v>286</v>
      </c>
      <c r="N26" s="248" t="s">
        <v>287</v>
      </c>
      <c r="O26" s="248" t="s">
        <v>288</v>
      </c>
      <c r="P26" s="248" t="s">
        <v>289</v>
      </c>
      <c r="Q26" s="248" t="s">
        <v>290</v>
      </c>
      <c r="R26" s="248"/>
      <c r="S26" s="254" t="s">
        <v>291</v>
      </c>
      <c r="T26" s="78"/>
      <c r="U26" s="78"/>
      <c r="V26" s="78"/>
      <c r="W26" s="78"/>
      <c r="X26" s="78"/>
      <c r="Y26" s="78"/>
    </row>
    <row r="27" spans="1:28" s="25" customFormat="1" ht="180.75" customHeight="1" x14ac:dyDescent="0.2">
      <c r="A27" s="248"/>
      <c r="B27" s="248"/>
      <c r="C27" s="250"/>
      <c r="D27" s="248"/>
      <c r="E27" s="248"/>
      <c r="F27" s="248"/>
      <c r="G27" s="248"/>
      <c r="H27" s="248"/>
      <c r="I27" s="248"/>
      <c r="J27" s="248"/>
      <c r="K27" s="248"/>
      <c r="L27" s="248"/>
      <c r="M27" s="248"/>
      <c r="N27" s="248"/>
      <c r="O27" s="248"/>
      <c r="P27" s="248"/>
      <c r="Q27" s="114" t="s">
        <v>292</v>
      </c>
      <c r="R27" s="23" t="s">
        <v>293</v>
      </c>
      <c r="S27" s="254"/>
      <c r="T27" s="1"/>
      <c r="U27" s="1"/>
      <c r="V27" s="1"/>
      <c r="W27" s="1"/>
      <c r="X27" s="1"/>
      <c r="Y27" s="1"/>
      <c r="Z27" s="117"/>
      <c r="AA27" s="117"/>
      <c r="AB27" s="117"/>
    </row>
    <row r="28" spans="1:28" s="25" customFormat="1" ht="18.75" x14ac:dyDescent="0.2">
      <c r="A28" s="114">
        <v>1</v>
      </c>
      <c r="B28" s="139">
        <v>2</v>
      </c>
      <c r="C28" s="114">
        <v>3</v>
      </c>
      <c r="D28" s="139">
        <v>4</v>
      </c>
      <c r="E28" s="114">
        <v>5</v>
      </c>
      <c r="F28" s="139">
        <v>6</v>
      </c>
      <c r="G28" s="114">
        <v>7</v>
      </c>
      <c r="H28" s="139">
        <v>8</v>
      </c>
      <c r="I28" s="114">
        <v>9</v>
      </c>
      <c r="J28" s="139">
        <v>10</v>
      </c>
      <c r="K28" s="114">
        <v>11</v>
      </c>
      <c r="L28" s="139">
        <v>12</v>
      </c>
      <c r="M28" s="114">
        <v>13</v>
      </c>
      <c r="N28" s="139">
        <v>14</v>
      </c>
      <c r="O28" s="114">
        <v>15</v>
      </c>
      <c r="P28" s="139">
        <v>16</v>
      </c>
      <c r="Q28" s="114">
        <v>17</v>
      </c>
      <c r="R28" s="139">
        <v>18</v>
      </c>
      <c r="S28" s="114">
        <v>19</v>
      </c>
      <c r="T28" s="1"/>
      <c r="U28" s="1"/>
      <c r="V28" s="1"/>
      <c r="W28" s="1"/>
      <c r="X28" s="1"/>
      <c r="Y28" s="1"/>
      <c r="Z28" s="117"/>
      <c r="AA28" s="117"/>
      <c r="AB28" s="117"/>
    </row>
    <row r="29" spans="1:28" s="25" customFormat="1" ht="32.25" customHeight="1" x14ac:dyDescent="0.2">
      <c r="A29" s="140">
        <v>1</v>
      </c>
      <c r="B29" s="141" t="s">
        <v>294</v>
      </c>
      <c r="C29" s="141" t="s">
        <v>294</v>
      </c>
      <c r="D29" s="141" t="str">
        <f>IF(B29="нд","нд",IF('3.3 паспорт описание'!C37="Объект введен на основные фонды",'3.3 паспорт описание'!C37,"в работе"))</f>
        <v>нд</v>
      </c>
      <c r="E29" s="68" t="s">
        <v>294</v>
      </c>
      <c r="F29" s="141" t="s">
        <v>294</v>
      </c>
      <c r="G29" s="141" t="s">
        <v>294</v>
      </c>
      <c r="H29" s="141" t="s">
        <v>294</v>
      </c>
      <c r="I29" s="142" t="s">
        <v>294</v>
      </c>
      <c r="J29" s="141" t="s">
        <v>294</v>
      </c>
      <c r="K29" s="68" t="s">
        <v>294</v>
      </c>
      <c r="L29" s="68" t="s">
        <v>294</v>
      </c>
      <c r="M29" s="141" t="s">
        <v>294</v>
      </c>
      <c r="N29" s="68" t="s">
        <v>294</v>
      </c>
      <c r="O29" s="68" t="s">
        <v>294</v>
      </c>
      <c r="P29" s="68" t="s">
        <v>294</v>
      </c>
      <c r="Q29" s="68" t="s">
        <v>294</v>
      </c>
      <c r="R29" s="68" t="s">
        <v>294</v>
      </c>
      <c r="S29" s="141" t="s">
        <v>294</v>
      </c>
      <c r="T29" s="1"/>
      <c r="U29" s="1"/>
      <c r="V29" s="1"/>
      <c r="W29" s="1"/>
      <c r="X29" s="1"/>
      <c r="Y29" s="1"/>
      <c r="Z29" s="117"/>
      <c r="AA29" s="117"/>
      <c r="AB29" s="117"/>
    </row>
    <row r="30" spans="1:28" ht="18.75" x14ac:dyDescent="0.25">
      <c r="A30" s="69" t="s">
        <v>361</v>
      </c>
      <c r="B30" s="69" t="s">
        <v>361</v>
      </c>
      <c r="C30" s="69"/>
      <c r="D30" s="69"/>
      <c r="E30" s="69" t="s">
        <v>361</v>
      </c>
      <c r="F30" s="69" t="s">
        <v>361</v>
      </c>
      <c r="G30" s="69" t="s">
        <v>361</v>
      </c>
      <c r="H30" s="69" t="s">
        <v>361</v>
      </c>
      <c r="I30" s="69"/>
      <c r="J30" s="69"/>
      <c r="K30" s="69"/>
      <c r="L30" s="69"/>
      <c r="M30" s="69" t="s">
        <v>361</v>
      </c>
      <c r="N30" s="69" t="s">
        <v>361</v>
      </c>
      <c r="O30" s="69" t="s">
        <v>361</v>
      </c>
      <c r="P30" s="69" t="s">
        <v>361</v>
      </c>
      <c r="Q30" s="69" t="s">
        <v>361</v>
      </c>
      <c r="R30" s="143"/>
      <c r="S30" s="143"/>
      <c r="T30" s="121"/>
      <c r="U30" s="121"/>
      <c r="V30" s="121"/>
      <c r="W30" s="121"/>
      <c r="X30" s="121"/>
      <c r="Y30" s="121"/>
      <c r="Z30" s="121"/>
      <c r="AA30" s="121"/>
      <c r="AB30" s="121"/>
    </row>
    <row r="31" spans="1:28" ht="15.75" x14ac:dyDescent="0.25">
      <c r="A31" s="144"/>
      <c r="B31" s="141" t="s">
        <v>451</v>
      </c>
      <c r="C31" s="141"/>
      <c r="D31" s="141"/>
      <c r="E31" s="144" t="s">
        <v>452</v>
      </c>
      <c r="F31" s="144" t="s">
        <v>452</v>
      </c>
      <c r="G31" s="144" t="s">
        <v>452</v>
      </c>
      <c r="H31" s="144"/>
      <c r="I31" s="144"/>
      <c r="J31" s="144"/>
      <c r="K31" s="144"/>
      <c r="L31" s="144"/>
      <c r="M31" s="144"/>
      <c r="N31" s="144"/>
      <c r="O31" s="144"/>
      <c r="P31" s="144"/>
      <c r="Q31" s="145"/>
      <c r="R31" s="146"/>
      <c r="S31" s="146"/>
      <c r="T31" s="121"/>
      <c r="U31" s="121"/>
      <c r="V31" s="121"/>
      <c r="W31" s="121"/>
      <c r="X31" s="121"/>
      <c r="Y31" s="121"/>
      <c r="Z31" s="121"/>
      <c r="AA31" s="121"/>
      <c r="AB31" s="121"/>
    </row>
    <row r="32" spans="1:28" x14ac:dyDescent="0.25">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row>
    <row r="33" spans="1:28" x14ac:dyDescent="0.25">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c r="AA33" s="121"/>
      <c r="AB33" s="121"/>
    </row>
    <row r="34" spans="1:28" x14ac:dyDescent="0.25">
      <c r="A34" s="121"/>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121"/>
    </row>
    <row r="35" spans="1:28" x14ac:dyDescent="0.25">
      <c r="A35" s="121"/>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c r="AA35" s="121"/>
      <c r="AB35" s="121"/>
    </row>
    <row r="36" spans="1:28" x14ac:dyDescent="0.25">
      <c r="A36" s="121"/>
      <c r="B36" s="121"/>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row>
    <row r="37" spans="1:28" x14ac:dyDescent="0.25">
      <c r="A37" s="121"/>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row>
    <row r="38" spans="1:28" x14ac:dyDescent="0.25">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row>
    <row r="39" spans="1:28" x14ac:dyDescent="0.25">
      <c r="A39" s="121"/>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row>
    <row r="40" spans="1:28"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row>
    <row r="41" spans="1:28" x14ac:dyDescent="0.25">
      <c r="A41" s="121"/>
      <c r="B41" s="121"/>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c r="AA41" s="121"/>
      <c r="AB41" s="121"/>
    </row>
    <row r="42" spans="1:28" x14ac:dyDescent="0.25">
      <c r="A42" s="121"/>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row>
    <row r="43" spans="1:28" x14ac:dyDescent="0.25">
      <c r="A43" s="121"/>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1"/>
    </row>
    <row r="44" spans="1:28" x14ac:dyDescent="0.25">
      <c r="A44" s="121"/>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c r="AA44" s="121"/>
      <c r="AB44" s="121"/>
    </row>
    <row r="45" spans="1:28" x14ac:dyDescent="0.25">
      <c r="A45" s="121"/>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row>
    <row r="46" spans="1:28"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row>
    <row r="47" spans="1:28" x14ac:dyDescent="0.25">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row>
    <row r="48" spans="1:28" x14ac:dyDescent="0.25">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row>
    <row r="49" spans="1:28" x14ac:dyDescent="0.25">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row>
    <row r="50" spans="1:28"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c r="AA50" s="121"/>
      <c r="AB50" s="121"/>
    </row>
    <row r="51" spans="1:28"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row>
    <row r="52" spans="1:28"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c r="AA52" s="121"/>
      <c r="AB52" s="121"/>
    </row>
    <row r="53" spans="1:28"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row>
    <row r="54" spans="1:28"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row>
    <row r="55" spans="1:28"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row>
    <row r="56" spans="1:28"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row>
    <row r="57" spans="1:28"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row>
    <row r="58" spans="1:28"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row>
    <row r="59" spans="1:28"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row>
    <row r="60" spans="1:28"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row>
    <row r="61" spans="1:28"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row>
    <row r="62" spans="1:28"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row>
    <row r="63" spans="1:28"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row>
    <row r="64" spans="1:28"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row>
    <row r="65" spans="1:28"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row>
    <row r="66" spans="1:28"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c r="AA66" s="121"/>
      <c r="AB66" s="121"/>
    </row>
    <row r="67" spans="1:28"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row>
    <row r="68" spans="1:28"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c r="AA68" s="121"/>
      <c r="AB68" s="121"/>
    </row>
    <row r="69" spans="1:28"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c r="AA69" s="121"/>
      <c r="AB69" s="121"/>
    </row>
    <row r="70" spans="1:28"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c r="AA70" s="121"/>
      <c r="AB70" s="121"/>
    </row>
    <row r="71" spans="1:28"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c r="AA71" s="121"/>
      <c r="AB71" s="121"/>
    </row>
    <row r="72" spans="1:28"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row>
    <row r="73" spans="1:28"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row>
    <row r="74" spans="1:28"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c r="W74" s="121"/>
      <c r="X74" s="121"/>
      <c r="Y74" s="121"/>
      <c r="Z74" s="121"/>
      <c r="AA74" s="121"/>
      <c r="AB74" s="121"/>
    </row>
    <row r="75" spans="1:28"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c r="AA75" s="121"/>
      <c r="AB75" s="121"/>
    </row>
    <row r="76" spans="1:28"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c r="AA76" s="121"/>
      <c r="AB76" s="121"/>
    </row>
    <row r="77" spans="1:28"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c r="AA77" s="121"/>
      <c r="AB77" s="121"/>
    </row>
    <row r="78" spans="1:28"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row>
    <row r="79" spans="1:28"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row>
    <row r="80" spans="1:28"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c r="AA80" s="121"/>
      <c r="AB80" s="121"/>
    </row>
    <row r="81" spans="1:28"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c r="AA81" s="121"/>
      <c r="AB81" s="121"/>
    </row>
    <row r="82" spans="1:28"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c r="AA82" s="121"/>
      <c r="AB82" s="121"/>
    </row>
    <row r="83" spans="1:28"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c r="AA83" s="121"/>
      <c r="AB83" s="121"/>
    </row>
    <row r="84" spans="1:28"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c r="W84" s="121"/>
      <c r="X84" s="121"/>
      <c r="Y84" s="121"/>
      <c r="Z84" s="121"/>
      <c r="AA84" s="121"/>
      <c r="AB84" s="121"/>
    </row>
    <row r="85" spans="1:28"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c r="W85" s="121"/>
      <c r="X85" s="121"/>
      <c r="Y85" s="121"/>
      <c r="Z85" s="121"/>
      <c r="AA85" s="121"/>
      <c r="AB85" s="121"/>
    </row>
    <row r="86" spans="1:28"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c r="AA86" s="121"/>
      <c r="AB86" s="121"/>
    </row>
    <row r="87" spans="1:28"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c r="AA87" s="121"/>
      <c r="AB87" s="121"/>
    </row>
    <row r="88" spans="1:28"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c r="W88" s="121"/>
      <c r="X88" s="121"/>
      <c r="Y88" s="121"/>
      <c r="Z88" s="121"/>
      <c r="AA88" s="121"/>
      <c r="AB88" s="121"/>
    </row>
    <row r="89" spans="1:28"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c r="AA89" s="121"/>
      <c r="AB89" s="121"/>
    </row>
    <row r="90" spans="1:28"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row>
    <row r="91" spans="1:28"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c r="AA91" s="121"/>
      <c r="AB91" s="121"/>
    </row>
    <row r="92" spans="1:28"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row>
    <row r="93" spans="1:28"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row>
    <row r="94" spans="1:28"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row>
    <row r="95" spans="1:28"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row>
    <row r="96" spans="1:28"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row>
    <row r="97" spans="1:28"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c r="AA97" s="121"/>
      <c r="AB97" s="121"/>
    </row>
    <row r="98" spans="1:28"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c r="AA98" s="121"/>
      <c r="AB98" s="121"/>
    </row>
    <row r="99" spans="1:28"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c r="AA99" s="121"/>
      <c r="AB99" s="121"/>
    </row>
    <row r="100" spans="1:28"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c r="AA100" s="121"/>
      <c r="AB100" s="121"/>
    </row>
    <row r="101" spans="1:28"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c r="AA101" s="121"/>
      <c r="AB101" s="121"/>
    </row>
    <row r="102" spans="1:28"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c r="AA102" s="121"/>
      <c r="AB102" s="121"/>
    </row>
    <row r="103" spans="1:28"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c r="AA103" s="121"/>
      <c r="AB103" s="121"/>
    </row>
    <row r="104" spans="1:28"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c r="AA104" s="121"/>
      <c r="AB104" s="121"/>
    </row>
    <row r="105" spans="1:28"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c r="AA105" s="121"/>
      <c r="AB105" s="121"/>
    </row>
    <row r="106" spans="1:28"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c r="AA106" s="121"/>
      <c r="AB106" s="121"/>
    </row>
    <row r="107" spans="1:28"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c r="AA107" s="121"/>
      <c r="AB107" s="121"/>
    </row>
    <row r="108" spans="1:28"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c r="AA108" s="121"/>
      <c r="AB108" s="121"/>
    </row>
    <row r="109" spans="1:28"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c r="AA109" s="121"/>
      <c r="AB109" s="121"/>
    </row>
    <row r="110" spans="1:28"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c r="AA110" s="121"/>
      <c r="AB110" s="121"/>
    </row>
    <row r="111" spans="1:28"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c r="AA111" s="121"/>
      <c r="AB111" s="121"/>
    </row>
    <row r="112" spans="1:28"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c r="AA112" s="121"/>
      <c r="AB112" s="121"/>
    </row>
    <row r="113" spans="1:28"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c r="AA113" s="121"/>
      <c r="AB113" s="121"/>
    </row>
    <row r="114" spans="1:28"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c r="AA114" s="121"/>
      <c r="AB114" s="121"/>
    </row>
    <row r="115" spans="1:28"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c r="AA115" s="121"/>
      <c r="AB115" s="121"/>
    </row>
    <row r="116" spans="1:28"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c r="AA116" s="121"/>
      <c r="AB116" s="121"/>
    </row>
    <row r="117" spans="1:28"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c r="AA117" s="121"/>
      <c r="AB117" s="121"/>
    </row>
    <row r="118" spans="1:28"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c r="AA118" s="121"/>
      <c r="AB118" s="121"/>
    </row>
    <row r="119" spans="1:28"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c r="AA119" s="121"/>
      <c r="AB119" s="121"/>
    </row>
    <row r="120" spans="1:28"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c r="AA120" s="121"/>
      <c r="AB120" s="121"/>
    </row>
    <row r="121" spans="1:28"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c r="AA121" s="121"/>
      <c r="AB121" s="121"/>
    </row>
    <row r="122" spans="1:28"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c r="AA122" s="121"/>
      <c r="AB122" s="121"/>
    </row>
    <row r="123" spans="1:28"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c r="AA123" s="121"/>
      <c r="AB123" s="121"/>
    </row>
    <row r="124" spans="1:28"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c r="AA124" s="121"/>
      <c r="AB124" s="121"/>
    </row>
    <row r="125" spans="1:28"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c r="AA125" s="121"/>
      <c r="AB125" s="121"/>
    </row>
    <row r="126" spans="1:28"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c r="AA126" s="121"/>
      <c r="AB126" s="121"/>
    </row>
    <row r="127" spans="1:28"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c r="AA127" s="121"/>
      <c r="AB127" s="121"/>
    </row>
    <row r="128" spans="1:28"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c r="AA128" s="121"/>
      <c r="AB128" s="121"/>
    </row>
    <row r="129" spans="1:28"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c r="AA129" s="121"/>
      <c r="AB129" s="121"/>
    </row>
    <row r="130" spans="1:28"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c r="AA130" s="121"/>
      <c r="AB130" s="121"/>
    </row>
    <row r="131" spans="1:28"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c r="AA131" s="121"/>
      <c r="AB131" s="121"/>
    </row>
    <row r="132" spans="1:28"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c r="AA132" s="121"/>
      <c r="AB132" s="121"/>
    </row>
    <row r="133" spans="1:28"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c r="AA133" s="121"/>
      <c r="AB133" s="121"/>
    </row>
    <row r="134" spans="1:28"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c r="AA134" s="121"/>
      <c r="AB134" s="121"/>
    </row>
    <row r="135" spans="1:28"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c r="AA135" s="121"/>
      <c r="AB135" s="121"/>
    </row>
    <row r="136" spans="1:28"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c r="AA136" s="121"/>
      <c r="AB136" s="121"/>
    </row>
    <row r="137" spans="1:28"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c r="AA137" s="121"/>
      <c r="AB137" s="121"/>
    </row>
    <row r="138" spans="1:28"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c r="AA138" s="121"/>
      <c r="AB138" s="121"/>
    </row>
    <row r="139" spans="1:28"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c r="AA139" s="121"/>
      <c r="AB139" s="121"/>
    </row>
    <row r="140" spans="1:28"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c r="AA140" s="121"/>
      <c r="AB140" s="121"/>
    </row>
    <row r="141" spans="1:28"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c r="AA141" s="121"/>
      <c r="AB141" s="121"/>
    </row>
    <row r="142" spans="1:28"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c r="AA142" s="121"/>
      <c r="AB142" s="121"/>
    </row>
    <row r="143" spans="1:28"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c r="AA143" s="121"/>
      <c r="AB143" s="121"/>
    </row>
    <row r="144" spans="1:28"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c r="AA144" s="121"/>
      <c r="AB144" s="121"/>
    </row>
    <row r="145" spans="1:28"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c r="AA145" s="121"/>
      <c r="AB145" s="121"/>
    </row>
    <row r="146" spans="1:28"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c r="AA146" s="121"/>
      <c r="AB146" s="121"/>
    </row>
    <row r="147" spans="1:28"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c r="AA147" s="121"/>
      <c r="AB147" s="121"/>
    </row>
    <row r="148" spans="1:28"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c r="AA148" s="121"/>
      <c r="AB148" s="121"/>
    </row>
    <row r="149" spans="1:28"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c r="AA149" s="121"/>
      <c r="AB149" s="121"/>
    </row>
    <row r="150" spans="1:28"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c r="AA150" s="121"/>
      <c r="AB150" s="121"/>
    </row>
    <row r="151" spans="1:28"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c r="AA151" s="121"/>
      <c r="AB151" s="121"/>
    </row>
    <row r="152" spans="1:28"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c r="AA152" s="121"/>
      <c r="AB152" s="121"/>
    </row>
    <row r="153" spans="1:28"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c r="AA153" s="121"/>
      <c r="AB153" s="121"/>
    </row>
    <row r="154" spans="1:28"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c r="AA154" s="121"/>
      <c r="AB154" s="121"/>
    </row>
    <row r="155" spans="1:28"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c r="AA155" s="121"/>
      <c r="AB155" s="121"/>
    </row>
    <row r="156" spans="1:28"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c r="AA156" s="121"/>
      <c r="AB156" s="121"/>
    </row>
    <row r="157" spans="1:28"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c r="AA157" s="121"/>
      <c r="AB157" s="121"/>
    </row>
    <row r="158" spans="1:28"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c r="AA158" s="121"/>
      <c r="AB158" s="121"/>
    </row>
    <row r="159" spans="1:28"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c r="AA159" s="121"/>
      <c r="AB159" s="121"/>
    </row>
    <row r="160" spans="1:28"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c r="AA160" s="121"/>
      <c r="AB160" s="121"/>
    </row>
    <row r="161" spans="1:28"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c r="AA161" s="121"/>
      <c r="AB161" s="121"/>
    </row>
    <row r="162" spans="1:28"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c r="AA162" s="121"/>
      <c r="AB162" s="121"/>
    </row>
    <row r="163" spans="1:28"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c r="AA163" s="121"/>
      <c r="AB163" s="121"/>
    </row>
    <row r="164" spans="1:28"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c r="AA164" s="121"/>
      <c r="AB164" s="121"/>
    </row>
    <row r="165" spans="1:28"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c r="AA165" s="121"/>
      <c r="AB165" s="121"/>
    </row>
    <row r="166" spans="1:28"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c r="AA166" s="121"/>
      <c r="AB166" s="121"/>
    </row>
    <row r="167" spans="1:28"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c r="AA167" s="121"/>
      <c r="AB167" s="121"/>
    </row>
    <row r="168" spans="1:28"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c r="AA168" s="121"/>
      <c r="AB168" s="121"/>
    </row>
    <row r="169" spans="1:28"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c r="AA169" s="121"/>
      <c r="AB169" s="121"/>
    </row>
    <row r="170" spans="1:28"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c r="AA170" s="121"/>
      <c r="AB170" s="121"/>
    </row>
    <row r="171" spans="1:28"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c r="AA171" s="121"/>
      <c r="AB171" s="121"/>
    </row>
    <row r="172" spans="1:28"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c r="AA172" s="121"/>
      <c r="AB172" s="121"/>
    </row>
    <row r="173" spans="1:28"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c r="AA173" s="121"/>
      <c r="AB173" s="121"/>
    </row>
    <row r="174" spans="1:28"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c r="AA174" s="121"/>
      <c r="AB174" s="121"/>
    </row>
    <row r="175" spans="1:28"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c r="AA175" s="121"/>
      <c r="AB175" s="121"/>
    </row>
    <row r="176" spans="1:28"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c r="AA176" s="121"/>
      <c r="AB176" s="121"/>
    </row>
    <row r="177" spans="1:28"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c r="AA177" s="121"/>
      <c r="AB177" s="121"/>
    </row>
    <row r="178" spans="1:28"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c r="AA178" s="121"/>
      <c r="AB178" s="121"/>
    </row>
    <row r="179" spans="1:28"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c r="AA179" s="121"/>
      <c r="AB179" s="121"/>
    </row>
    <row r="180" spans="1:28"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c r="AA180" s="121"/>
      <c r="AB180" s="121"/>
    </row>
    <row r="181" spans="1:28"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c r="AA181" s="121"/>
      <c r="AB181" s="121"/>
    </row>
    <row r="182" spans="1:28"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c r="AA182" s="121"/>
      <c r="AB182" s="121"/>
    </row>
    <row r="183" spans="1:28"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c r="AA183" s="121"/>
      <c r="AB183" s="121"/>
    </row>
    <row r="184" spans="1:28"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c r="AA184" s="121"/>
      <c r="AB184" s="121"/>
    </row>
    <row r="185" spans="1:28"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c r="AA185" s="121"/>
      <c r="AB185" s="121"/>
    </row>
    <row r="186" spans="1:28"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c r="AA186" s="121"/>
      <c r="AB186" s="121"/>
    </row>
    <row r="187" spans="1:28"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c r="AA187" s="121"/>
      <c r="AB187" s="121"/>
    </row>
    <row r="188" spans="1:28"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c r="AA188" s="121"/>
      <c r="AB188" s="121"/>
    </row>
    <row r="189" spans="1:28"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c r="AA189" s="121"/>
      <c r="AB189" s="121"/>
    </row>
    <row r="190" spans="1:28"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c r="AA190" s="121"/>
      <c r="AB190" s="121"/>
    </row>
    <row r="191" spans="1:28"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c r="AA191" s="121"/>
      <c r="AB191" s="121"/>
    </row>
    <row r="192" spans="1:28"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c r="AA192" s="121"/>
      <c r="AB192" s="121"/>
    </row>
    <row r="193" spans="1:28"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c r="AA193" s="121"/>
      <c r="AB193" s="121"/>
    </row>
    <row r="194" spans="1:28"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c r="AA194" s="121"/>
      <c r="AB194" s="121"/>
    </row>
    <row r="195" spans="1:28"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c r="AA195" s="121"/>
      <c r="AB195" s="121"/>
    </row>
    <row r="196" spans="1:28"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c r="AA196" s="121"/>
      <c r="AB196" s="121"/>
    </row>
    <row r="197" spans="1:28"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c r="AA197" s="121"/>
      <c r="AB197" s="121"/>
    </row>
    <row r="198" spans="1:28"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c r="AA198" s="121"/>
      <c r="AB198" s="121"/>
    </row>
    <row r="199" spans="1:28"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c r="AA199" s="121"/>
      <c r="AB199" s="121"/>
    </row>
    <row r="200" spans="1:28"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c r="AA200" s="121"/>
      <c r="AB200" s="121"/>
    </row>
    <row r="201" spans="1:28"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c r="AA201" s="121"/>
      <c r="AB201" s="121"/>
    </row>
    <row r="202" spans="1:28"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c r="AA202" s="121"/>
      <c r="AB202" s="121"/>
    </row>
    <row r="203" spans="1:28"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c r="AA203" s="121"/>
      <c r="AB203" s="121"/>
    </row>
    <row r="204" spans="1:28"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c r="AA204" s="121"/>
      <c r="AB204" s="121"/>
    </row>
    <row r="205" spans="1:28"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c r="AA205" s="121"/>
      <c r="AB205" s="121"/>
    </row>
    <row r="206" spans="1:28"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c r="AA206" s="121"/>
      <c r="AB206" s="121"/>
    </row>
    <row r="207" spans="1:28"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c r="AA207" s="121"/>
      <c r="AB207" s="121"/>
    </row>
    <row r="208" spans="1:28"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c r="AA208" s="121"/>
      <c r="AB208" s="121"/>
    </row>
    <row r="209" spans="1:28"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c r="AA209" s="121"/>
      <c r="AB209" s="121"/>
    </row>
    <row r="210" spans="1:28"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c r="AA210" s="121"/>
      <c r="AB210" s="121"/>
    </row>
    <row r="211" spans="1:28"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c r="AA211" s="121"/>
      <c r="AB211" s="121"/>
    </row>
    <row r="212" spans="1:28"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c r="AA212" s="121"/>
      <c r="AB212" s="121"/>
    </row>
    <row r="213" spans="1:28"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c r="AA213" s="121"/>
      <c r="AB213" s="121"/>
    </row>
    <row r="214" spans="1:28"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c r="AA214" s="121"/>
      <c r="AB214" s="121"/>
    </row>
    <row r="215" spans="1:28"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c r="AA215" s="121"/>
      <c r="AB215" s="121"/>
    </row>
    <row r="216" spans="1:28"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c r="AA216" s="121"/>
      <c r="AB216" s="121"/>
    </row>
    <row r="217" spans="1:28"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c r="AA217" s="121"/>
      <c r="AB217" s="121"/>
    </row>
    <row r="218" spans="1:28"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c r="AA218" s="121"/>
      <c r="AB218" s="121"/>
    </row>
    <row r="219" spans="1:28"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c r="AA219" s="121"/>
      <c r="AB219" s="121"/>
    </row>
    <row r="220" spans="1:28"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c r="AA220" s="121"/>
      <c r="AB220" s="121"/>
    </row>
    <row r="221" spans="1:28"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c r="AA221" s="121"/>
      <c r="AB221" s="121"/>
    </row>
    <row r="222" spans="1:28"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c r="AA222" s="121"/>
      <c r="AB222" s="121"/>
    </row>
    <row r="223" spans="1:28"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c r="AA223" s="121"/>
      <c r="AB223" s="121"/>
    </row>
    <row r="224" spans="1:28"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c r="AA224" s="121"/>
      <c r="AB224" s="121"/>
    </row>
    <row r="225" spans="1:28"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c r="AA225" s="121"/>
      <c r="AB225" s="121"/>
    </row>
    <row r="226" spans="1:28"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c r="AA226" s="121"/>
      <c r="AB226" s="121"/>
    </row>
    <row r="227" spans="1:28"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c r="AA227" s="121"/>
      <c r="AB227" s="121"/>
    </row>
    <row r="228" spans="1:28"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c r="AA228" s="121"/>
      <c r="AB228" s="121"/>
    </row>
    <row r="229" spans="1:28"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c r="AA229" s="121"/>
      <c r="AB229" s="121"/>
    </row>
    <row r="230" spans="1:28"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c r="AA230" s="121"/>
      <c r="AB230" s="121"/>
    </row>
    <row r="231" spans="1:28"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c r="AA231" s="121"/>
      <c r="AB231" s="121"/>
    </row>
    <row r="232" spans="1:28"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c r="AA232" s="121"/>
      <c r="AB232" s="121"/>
    </row>
    <row r="233" spans="1:28"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c r="AA233" s="121"/>
      <c r="AB233" s="121"/>
    </row>
    <row r="234" spans="1:28"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c r="AA234" s="121"/>
      <c r="AB234" s="121"/>
    </row>
    <row r="235" spans="1:28"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c r="AA235" s="121"/>
      <c r="AB235" s="121"/>
    </row>
    <row r="236" spans="1:28"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c r="AA236" s="121"/>
      <c r="AB236" s="121"/>
    </row>
    <row r="237" spans="1:28"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c r="AA237" s="121"/>
      <c r="AB237" s="121"/>
    </row>
    <row r="238" spans="1:28"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c r="AA238" s="121"/>
      <c r="AB238" s="121"/>
    </row>
    <row r="239" spans="1:28"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c r="AA239" s="121"/>
      <c r="AB239" s="121"/>
    </row>
    <row r="240" spans="1:28"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c r="AA240" s="121"/>
      <c r="AB240" s="121"/>
    </row>
    <row r="241" spans="1:28"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c r="AA241" s="121"/>
      <c r="AB241" s="121"/>
    </row>
    <row r="242" spans="1:28"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c r="AA242" s="121"/>
      <c r="AB242" s="121"/>
    </row>
    <row r="243" spans="1:28"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c r="AA243" s="121"/>
      <c r="AB243" s="121"/>
    </row>
    <row r="244" spans="1:28"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c r="AA244" s="121"/>
      <c r="AB244" s="121"/>
    </row>
    <row r="245" spans="1:28"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c r="AA245" s="121"/>
      <c r="AB245" s="121"/>
    </row>
    <row r="246" spans="1:28"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c r="AA246" s="121"/>
      <c r="AB246" s="121"/>
    </row>
    <row r="247" spans="1:28"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c r="AA247" s="121"/>
      <c r="AB247" s="121"/>
    </row>
    <row r="248" spans="1:28"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c r="AA248" s="121"/>
      <c r="AB248" s="121"/>
    </row>
    <row r="249" spans="1:28"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c r="AA249" s="121"/>
      <c r="AB249" s="121"/>
    </row>
    <row r="250" spans="1:28"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c r="AA250" s="121"/>
      <c r="AB250" s="121"/>
    </row>
    <row r="251" spans="1:28"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c r="AA251" s="121"/>
      <c r="AB251" s="121"/>
    </row>
    <row r="252" spans="1:28"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c r="AA252" s="121"/>
      <c r="AB252" s="121"/>
    </row>
    <row r="253" spans="1:28"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c r="AA253" s="121"/>
      <c r="AB253" s="121"/>
    </row>
    <row r="254" spans="1:28"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c r="AA254" s="121"/>
      <c r="AB254" s="121"/>
    </row>
    <row r="255" spans="1:28"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c r="AA255" s="121"/>
      <c r="AB255" s="121"/>
    </row>
    <row r="256" spans="1:28"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c r="AA256" s="121"/>
      <c r="AB256" s="121"/>
    </row>
    <row r="257" spans="1:28"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c r="AA257" s="121"/>
      <c r="AB257" s="121"/>
    </row>
    <row r="258" spans="1:28"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c r="AA258" s="121"/>
      <c r="AB258" s="121"/>
    </row>
    <row r="259" spans="1:28"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c r="AA259" s="121"/>
      <c r="AB259" s="121"/>
    </row>
    <row r="260" spans="1:28"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c r="AA260" s="121"/>
      <c r="AB260" s="121"/>
    </row>
    <row r="261" spans="1:28"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c r="AA261" s="121"/>
      <c r="AB261" s="121"/>
    </row>
    <row r="262" spans="1:28"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c r="AA262" s="121"/>
      <c r="AB262" s="121"/>
    </row>
    <row r="263" spans="1:28"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c r="AA263" s="121"/>
      <c r="AB263" s="121"/>
    </row>
    <row r="264" spans="1:28"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c r="AA264" s="121"/>
      <c r="AB264" s="121"/>
    </row>
    <row r="265" spans="1:28"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c r="AA265" s="121"/>
      <c r="AB265" s="121"/>
    </row>
    <row r="266" spans="1:28"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c r="AA266" s="121"/>
      <c r="AB266" s="121"/>
    </row>
    <row r="267" spans="1:28"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c r="AA267" s="121"/>
      <c r="AB267" s="121"/>
    </row>
    <row r="268" spans="1:28"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c r="AA268" s="121"/>
      <c r="AB268" s="121"/>
    </row>
    <row r="269" spans="1:28"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c r="AA269" s="121"/>
      <c r="AB269" s="121"/>
    </row>
    <row r="270" spans="1:28"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c r="AA270" s="121"/>
      <c r="AB270" s="121"/>
    </row>
    <row r="271" spans="1:28"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c r="AA271" s="121"/>
      <c r="AB271" s="121"/>
    </row>
    <row r="272" spans="1:28"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c r="AA272" s="121"/>
      <c r="AB272" s="121"/>
    </row>
    <row r="273" spans="1:28"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c r="AA273" s="121"/>
      <c r="AB273" s="121"/>
    </row>
    <row r="274" spans="1:28"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c r="AA274" s="121"/>
      <c r="AB274" s="121"/>
    </row>
    <row r="275" spans="1:28"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c r="AA275" s="121"/>
      <c r="AB275" s="121"/>
    </row>
    <row r="276" spans="1:28"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c r="AA276" s="121"/>
      <c r="AB276" s="121"/>
    </row>
    <row r="277" spans="1:28"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c r="AA277" s="121"/>
      <c r="AB277" s="121"/>
    </row>
    <row r="278" spans="1:28"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c r="AA278" s="121"/>
      <c r="AB278" s="121"/>
    </row>
    <row r="279" spans="1:28"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c r="AA279" s="121"/>
      <c r="AB279" s="121"/>
    </row>
    <row r="280" spans="1:28"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c r="AA280" s="121"/>
      <c r="AB280" s="121"/>
    </row>
    <row r="281" spans="1:28"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c r="AA281" s="121"/>
      <c r="AB281" s="121"/>
    </row>
    <row r="282" spans="1:28"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c r="AA282" s="121"/>
      <c r="AB282" s="121"/>
    </row>
    <row r="283" spans="1:28"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c r="AA283" s="121"/>
      <c r="AB283" s="121"/>
    </row>
    <row r="284" spans="1:28"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c r="AA284" s="121"/>
      <c r="AB284" s="121"/>
    </row>
    <row r="285" spans="1:28"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c r="AA285" s="121"/>
      <c r="AB285" s="121"/>
    </row>
    <row r="286" spans="1:28"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c r="AA286" s="121"/>
      <c r="AB286" s="121"/>
    </row>
    <row r="287" spans="1:28"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c r="AA287" s="121"/>
      <c r="AB287" s="121"/>
    </row>
    <row r="288" spans="1:28"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c r="AA288" s="121"/>
      <c r="AB288" s="121"/>
    </row>
    <row r="289" spans="1:28"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c r="AA289" s="121"/>
      <c r="AB289" s="121"/>
    </row>
    <row r="290" spans="1:28"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c r="AA290" s="121"/>
      <c r="AB290" s="121"/>
    </row>
    <row r="291" spans="1:28"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c r="AA291" s="121"/>
      <c r="AB291" s="121"/>
    </row>
    <row r="292" spans="1:28"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c r="AA292" s="121"/>
      <c r="AB292" s="121"/>
    </row>
    <row r="293" spans="1:28"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c r="AA293" s="121"/>
      <c r="AB293" s="121"/>
    </row>
    <row r="294" spans="1:28"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c r="AA294" s="121"/>
      <c r="AB294" s="121"/>
    </row>
    <row r="295" spans="1:28"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c r="AA295" s="121"/>
      <c r="AB295" s="121"/>
    </row>
    <row r="296" spans="1:28"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c r="AA296" s="121"/>
      <c r="AB296" s="121"/>
    </row>
    <row r="297" spans="1:28"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c r="AA297" s="121"/>
      <c r="AB297" s="121"/>
    </row>
    <row r="298" spans="1:28"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c r="AA298" s="121"/>
      <c r="AB298" s="121"/>
    </row>
    <row r="299" spans="1:28"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c r="AA299" s="121"/>
      <c r="AB299" s="121"/>
    </row>
    <row r="300" spans="1:28"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c r="AA300" s="121"/>
      <c r="AB300" s="121"/>
    </row>
    <row r="301" spans="1:28"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c r="AA301" s="121"/>
      <c r="AB301" s="121"/>
    </row>
    <row r="302" spans="1:28"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c r="AA302" s="121"/>
      <c r="AB302" s="121"/>
    </row>
    <row r="303" spans="1:28"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c r="AA303" s="121"/>
      <c r="AB303" s="121"/>
    </row>
    <row r="304" spans="1:28"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c r="AA304" s="121"/>
      <c r="AB304" s="121"/>
    </row>
    <row r="305" spans="1:28"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c r="AA305" s="121"/>
      <c r="AB305" s="121"/>
    </row>
    <row r="306" spans="1:28"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c r="AA306" s="121"/>
      <c r="AB306" s="121"/>
    </row>
    <row r="307" spans="1:28"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c r="AA307" s="121"/>
      <c r="AB307" s="121"/>
    </row>
    <row r="308" spans="1:28"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c r="AA308" s="121"/>
      <c r="AB308" s="121"/>
    </row>
    <row r="309" spans="1:28"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c r="AA309" s="121"/>
      <c r="AB309" s="121"/>
    </row>
    <row r="310" spans="1:28"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c r="AA310" s="121"/>
      <c r="AB310" s="121"/>
    </row>
    <row r="311" spans="1:28"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c r="AA311" s="121"/>
      <c r="AB311" s="121"/>
    </row>
    <row r="312" spans="1:28"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c r="AA312" s="121"/>
      <c r="AB312" s="121"/>
    </row>
    <row r="313" spans="1:28"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c r="AA313" s="121"/>
      <c r="AB313" s="121"/>
    </row>
    <row r="314" spans="1:28"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c r="AA314" s="121"/>
      <c r="AB314" s="121"/>
    </row>
    <row r="315" spans="1:28"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c r="AA315" s="121"/>
      <c r="AB315" s="121"/>
    </row>
    <row r="316" spans="1:28"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c r="AA316" s="121"/>
      <c r="AB316" s="121"/>
    </row>
    <row r="317" spans="1:28"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c r="AA317" s="121"/>
      <c r="AB317" s="121"/>
    </row>
    <row r="318" spans="1:28"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c r="AA318" s="121"/>
      <c r="AB318" s="121"/>
    </row>
    <row r="319" spans="1:28"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c r="AA319" s="121"/>
      <c r="AB319" s="121"/>
    </row>
    <row r="320" spans="1:28"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c r="AA320" s="121"/>
      <c r="AB320" s="121"/>
    </row>
    <row r="321" spans="1:28"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c r="AA321" s="121"/>
      <c r="AB321" s="121"/>
    </row>
    <row r="322" spans="1:28"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c r="AA322" s="121"/>
      <c r="AB322" s="121"/>
    </row>
    <row r="323" spans="1:28"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c r="AA323" s="121"/>
      <c r="AB323" s="121"/>
    </row>
    <row r="324" spans="1:28"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c r="AA324" s="121"/>
      <c r="AB324" s="121"/>
    </row>
    <row r="325" spans="1:28"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c r="AA325" s="121"/>
      <c r="AB325" s="121"/>
    </row>
    <row r="326" spans="1:28"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c r="AA326" s="121"/>
      <c r="AB326" s="121"/>
    </row>
    <row r="327" spans="1:28"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c r="AA327" s="121"/>
      <c r="AB327" s="121"/>
    </row>
    <row r="328" spans="1:28"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c r="AA328" s="121"/>
      <c r="AB328" s="121"/>
    </row>
    <row r="329" spans="1:28"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c r="AA329" s="121"/>
      <c r="AB329" s="121"/>
    </row>
    <row r="330" spans="1:28"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c r="AA330" s="121"/>
      <c r="AB330" s="121"/>
    </row>
    <row r="331" spans="1:28"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c r="AA331" s="121"/>
      <c r="AB331" s="121"/>
    </row>
    <row r="332" spans="1:28"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c r="AA332" s="121"/>
      <c r="AB332" s="121"/>
    </row>
    <row r="333" spans="1:28"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c r="AA333" s="121"/>
      <c r="AB333" s="121"/>
    </row>
    <row r="334" spans="1:28"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c r="AA334" s="121"/>
      <c r="AB334" s="121"/>
    </row>
    <row r="335" spans="1:28"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c r="AA335" s="121"/>
      <c r="AB335" s="121"/>
    </row>
    <row r="336" spans="1:28"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c r="AA336" s="121"/>
      <c r="AB336" s="121"/>
    </row>
    <row r="337" spans="1:28"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c r="AA337" s="121"/>
      <c r="AB337" s="121"/>
    </row>
    <row r="338" spans="1:28"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c r="AA338" s="121"/>
      <c r="AB338" s="121"/>
    </row>
    <row r="339" spans="1:28"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c r="AA339" s="121"/>
      <c r="AB339" s="121"/>
    </row>
    <row r="340" spans="1:28"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c r="AA340" s="121"/>
      <c r="AB340" s="121"/>
    </row>
    <row r="341" spans="1:28"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c r="AA341" s="121"/>
      <c r="AB341" s="121"/>
    </row>
    <row r="342" spans="1:28"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c r="AA342" s="121"/>
      <c r="AB342" s="121"/>
    </row>
    <row r="343" spans="1:28"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c r="AA343" s="121"/>
      <c r="AB343" s="121"/>
    </row>
    <row r="344" spans="1:28"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c r="AA344" s="121"/>
      <c r="AB344" s="121"/>
    </row>
    <row r="345" spans="1:28"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c r="AA345" s="121"/>
      <c r="AB345" s="121"/>
    </row>
    <row r="346" spans="1:28"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c r="AA346" s="121"/>
      <c r="AB346" s="121"/>
    </row>
    <row r="347" spans="1:28"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c r="AA347" s="121"/>
      <c r="AB347" s="121"/>
    </row>
    <row r="348" spans="1:28"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c r="AA348" s="121"/>
      <c r="AB348" s="121"/>
    </row>
    <row r="349" spans="1:28"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c r="AA349" s="121"/>
      <c r="AB349" s="121"/>
    </row>
    <row r="350" spans="1:28"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c r="AA350" s="121"/>
      <c r="AB350" s="121"/>
    </row>
    <row r="351" spans="1:28"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c r="AA351" s="121"/>
      <c r="AB351" s="121"/>
    </row>
    <row r="352" spans="1:28"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c r="AA352" s="121"/>
      <c r="AB352" s="121"/>
    </row>
    <row r="353" spans="1:28"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c r="AA353" s="121"/>
      <c r="AB353" s="121"/>
    </row>
    <row r="354" spans="1:28"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c r="AA354" s="121"/>
      <c r="AB354" s="121"/>
    </row>
    <row r="355" spans="1:28"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c r="AA355" s="121"/>
      <c r="AB355" s="121"/>
    </row>
    <row r="356" spans="1:28"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c r="AA356" s="121"/>
      <c r="AB356" s="121"/>
    </row>
    <row r="357" spans="1:28"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c r="AA357" s="121"/>
      <c r="AB357" s="121"/>
    </row>
    <row r="358" spans="1:28"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c r="AA358" s="121"/>
      <c r="AB358" s="121"/>
    </row>
    <row r="359" spans="1:28"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c r="AA359" s="121"/>
      <c r="AB359" s="121"/>
    </row>
    <row r="360" spans="1:28"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c r="AA360" s="121"/>
      <c r="AB360" s="121"/>
    </row>
    <row r="361" spans="1:28" x14ac:dyDescent="0.25">
      <c r="A361" s="121"/>
      <c r="B361" s="121"/>
      <c r="C361" s="121"/>
      <c r="D361" s="121"/>
      <c r="E361" s="121"/>
      <c r="F361" s="121"/>
      <c r="G361" s="121"/>
      <c r="H361" s="121"/>
      <c r="I361" s="121"/>
      <c r="J361" s="121"/>
      <c r="K361" s="121"/>
      <c r="L361" s="121"/>
      <c r="M361" s="121"/>
      <c r="N361" s="121"/>
      <c r="O361" s="121"/>
      <c r="P361" s="121"/>
      <c r="Q361" s="121"/>
      <c r="R361" s="121"/>
      <c r="S361" s="121"/>
      <c r="T361" s="121"/>
      <c r="U361" s="121"/>
      <c r="V361" s="121"/>
      <c r="W361" s="121"/>
      <c r="X361" s="121"/>
      <c r="Y361" s="121"/>
      <c r="Z361" s="121"/>
      <c r="AA361" s="121"/>
      <c r="AB361" s="121"/>
    </row>
    <row r="362" spans="1:28" x14ac:dyDescent="0.25">
      <c r="A362" s="121"/>
      <c r="B362" s="121"/>
      <c r="C362" s="121"/>
      <c r="D362" s="121"/>
      <c r="E362" s="121"/>
      <c r="F362" s="121"/>
      <c r="G362" s="121"/>
      <c r="H362" s="121"/>
      <c r="I362" s="121"/>
      <c r="J362" s="121"/>
      <c r="K362" s="121"/>
      <c r="L362" s="121"/>
      <c r="M362" s="121"/>
      <c r="N362" s="121"/>
      <c r="O362" s="121"/>
      <c r="P362" s="121"/>
      <c r="Q362" s="121"/>
      <c r="R362" s="121"/>
      <c r="S362" s="121"/>
      <c r="T362" s="121"/>
      <c r="U362" s="121"/>
      <c r="V362" s="121"/>
      <c r="W362" s="121"/>
      <c r="X362" s="121"/>
      <c r="Y362" s="121"/>
      <c r="Z362" s="121"/>
      <c r="AA362" s="121"/>
      <c r="AB362" s="121"/>
    </row>
    <row r="363" spans="1:28" x14ac:dyDescent="0.25">
      <c r="A363" s="121"/>
      <c r="B363" s="121"/>
      <c r="C363" s="121"/>
      <c r="D363" s="121"/>
      <c r="E363" s="121"/>
      <c r="F363" s="121"/>
      <c r="G363" s="121"/>
      <c r="H363" s="121"/>
      <c r="I363" s="121"/>
      <c r="J363" s="121"/>
      <c r="K363" s="121"/>
      <c r="L363" s="121"/>
      <c r="M363" s="121"/>
      <c r="N363" s="121"/>
      <c r="O363" s="121"/>
      <c r="P363" s="121"/>
      <c r="Q363" s="121"/>
      <c r="R363" s="121"/>
      <c r="S363" s="121"/>
      <c r="T363" s="121"/>
      <c r="U363" s="121"/>
      <c r="V363" s="121"/>
      <c r="W363" s="121"/>
      <c r="X363" s="121"/>
      <c r="Y363" s="121"/>
      <c r="Z363" s="121"/>
      <c r="AA363" s="121"/>
      <c r="AB363" s="121"/>
    </row>
    <row r="364" spans="1:28" x14ac:dyDescent="0.25">
      <c r="A364" s="121"/>
      <c r="B364" s="121"/>
      <c r="C364" s="121"/>
      <c r="D364" s="121"/>
      <c r="E364" s="121"/>
      <c r="F364" s="121"/>
      <c r="G364" s="121"/>
      <c r="H364" s="121"/>
      <c r="I364" s="121"/>
      <c r="J364" s="121"/>
      <c r="K364" s="121"/>
      <c r="L364" s="121"/>
      <c r="M364" s="121"/>
      <c r="N364" s="121"/>
      <c r="O364" s="121"/>
      <c r="P364" s="121"/>
      <c r="Q364" s="121"/>
      <c r="R364" s="121"/>
      <c r="S364" s="121"/>
      <c r="T364" s="121"/>
      <c r="U364" s="121"/>
      <c r="V364" s="121"/>
      <c r="W364" s="121"/>
      <c r="X364" s="121"/>
      <c r="Y364" s="121"/>
      <c r="Z364" s="121"/>
      <c r="AA364" s="121"/>
      <c r="AB364" s="121"/>
    </row>
    <row r="365" spans="1:28" x14ac:dyDescent="0.25">
      <c r="A365" s="121"/>
      <c r="B365" s="121"/>
      <c r="C365" s="121"/>
      <c r="D365" s="121"/>
      <c r="E365" s="121"/>
      <c r="F365" s="121"/>
      <c r="G365" s="121"/>
      <c r="H365" s="121"/>
      <c r="I365" s="121"/>
      <c r="J365" s="121"/>
      <c r="K365" s="121"/>
      <c r="L365" s="121"/>
      <c r="M365" s="121"/>
      <c r="N365" s="121"/>
      <c r="O365" s="121"/>
      <c r="P365" s="121"/>
      <c r="Q365" s="121"/>
      <c r="R365" s="121"/>
      <c r="S365" s="121"/>
      <c r="T365" s="121"/>
      <c r="U365" s="121"/>
      <c r="V365" s="121"/>
      <c r="W365" s="121"/>
      <c r="X365" s="121"/>
      <c r="Y365" s="121"/>
      <c r="Z365" s="121"/>
      <c r="AA365" s="121"/>
      <c r="AB365" s="121"/>
    </row>
    <row r="366" spans="1:28" x14ac:dyDescent="0.25">
      <c r="A366" s="121"/>
      <c r="B366" s="121"/>
      <c r="C366" s="121"/>
      <c r="D366" s="121"/>
      <c r="E366" s="121"/>
      <c r="F366" s="121"/>
      <c r="G366" s="121"/>
      <c r="H366" s="121"/>
      <c r="I366" s="121"/>
      <c r="J366" s="121"/>
      <c r="K366" s="121"/>
      <c r="L366" s="121"/>
      <c r="M366" s="121"/>
      <c r="N366" s="121"/>
      <c r="O366" s="121"/>
      <c r="P366" s="121"/>
      <c r="Q366" s="121"/>
      <c r="R366" s="121"/>
      <c r="S366" s="121"/>
      <c r="T366" s="121"/>
      <c r="U366" s="121"/>
      <c r="V366" s="121"/>
      <c r="W366" s="121"/>
      <c r="X366" s="121"/>
      <c r="Y366" s="121"/>
      <c r="Z366" s="121"/>
      <c r="AA366" s="121"/>
      <c r="AB366" s="121"/>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103"/>
  <sheetViews>
    <sheetView view="pageBreakPreview" topLeftCell="A40" zoomScale="60" zoomScaleNormal="60" workbookViewId="0">
      <selection activeCell="K83" sqref="K83:L83"/>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7" customFormat="1" ht="18.75" customHeight="1" x14ac:dyDescent="0.3">
      <c r="A3" s="19"/>
      <c r="T3" s="14" t="s">
        <v>6</v>
      </c>
    </row>
    <row r="4" spans="1:27" s="77" customFormat="1" ht="18.75" customHeight="1" x14ac:dyDescent="0.3">
      <c r="A4" s="19"/>
      <c r="T4" s="14" t="s">
        <v>21</v>
      </c>
    </row>
    <row r="5" spans="1:27" s="77" customFormat="1" ht="18.75" customHeight="1" x14ac:dyDescent="0.2">
      <c r="A5" s="255"/>
      <c r="B5" s="255"/>
      <c r="C5" s="255"/>
      <c r="D5" s="255"/>
      <c r="E5" s="255"/>
      <c r="F5" s="255"/>
      <c r="G5" s="255"/>
      <c r="H5" s="255"/>
      <c r="I5" s="255"/>
      <c r="J5" s="255"/>
      <c r="K5" s="255"/>
      <c r="L5" s="255"/>
      <c r="M5" s="255"/>
      <c r="N5" s="255"/>
      <c r="O5" s="255"/>
      <c r="P5" s="255"/>
      <c r="Q5" s="255"/>
      <c r="R5" s="255"/>
      <c r="S5" s="255"/>
      <c r="T5" s="255"/>
    </row>
    <row r="6" spans="1:27" s="77" customFormat="1" x14ac:dyDescent="0.2">
      <c r="A6" s="236" t="str">
        <f>'1. паспорт местоположение'!$A$5</f>
        <v>Год раскрытия информации: 2025 год</v>
      </c>
      <c r="B6" s="236"/>
      <c r="C6" s="236"/>
      <c r="D6" s="236"/>
      <c r="E6" s="236"/>
      <c r="F6" s="236"/>
      <c r="G6" s="236"/>
      <c r="H6" s="236"/>
      <c r="I6" s="236"/>
      <c r="J6" s="236"/>
      <c r="K6" s="236"/>
      <c r="L6" s="236"/>
      <c r="M6" s="236"/>
      <c r="N6" s="236"/>
      <c r="O6" s="236"/>
      <c r="P6" s="236"/>
      <c r="Q6" s="236"/>
      <c r="R6" s="236"/>
      <c r="S6" s="236"/>
      <c r="T6" s="236"/>
      <c r="U6" s="75"/>
      <c r="V6" s="75"/>
      <c r="W6" s="75"/>
      <c r="X6" s="75"/>
      <c r="Y6" s="75"/>
      <c r="Z6" s="75"/>
      <c r="AA6" s="75"/>
    </row>
    <row r="7" spans="1:27" s="77" customFormat="1" ht="15.75" customHeight="1" x14ac:dyDescent="0.2">
      <c r="A7" s="255">
        <v>0</v>
      </c>
      <c r="B7" s="255"/>
      <c r="C7" s="255"/>
      <c r="D7" s="255"/>
      <c r="E7" s="255"/>
      <c r="F7" s="255"/>
      <c r="G7" s="255"/>
      <c r="H7" s="255"/>
      <c r="I7" s="255"/>
      <c r="J7" s="255"/>
      <c r="K7" s="255"/>
      <c r="L7" s="255"/>
      <c r="M7" s="255"/>
      <c r="N7" s="255"/>
      <c r="O7" s="255"/>
      <c r="P7" s="255"/>
      <c r="Q7" s="255"/>
      <c r="R7" s="255"/>
      <c r="S7" s="255"/>
      <c r="T7" s="255"/>
    </row>
    <row r="8" spans="1:27" s="77" customFormat="1" ht="18.75" x14ac:dyDescent="0.2">
      <c r="A8" s="240" t="s">
        <v>5</v>
      </c>
      <c r="B8" s="240"/>
      <c r="C8" s="240"/>
      <c r="D8" s="240"/>
      <c r="E8" s="240"/>
      <c r="F8" s="240"/>
      <c r="G8" s="240"/>
      <c r="H8" s="240"/>
      <c r="I8" s="240"/>
      <c r="J8" s="240"/>
      <c r="K8" s="240"/>
      <c r="L8" s="240"/>
      <c r="M8" s="240"/>
      <c r="N8" s="240"/>
      <c r="O8" s="240"/>
      <c r="P8" s="240"/>
      <c r="Q8" s="240"/>
      <c r="R8" s="240"/>
      <c r="S8" s="240"/>
      <c r="T8" s="240"/>
      <c r="U8" s="82"/>
      <c r="V8" s="82"/>
      <c r="W8" s="82"/>
      <c r="X8" s="82"/>
      <c r="Y8" s="82"/>
    </row>
    <row r="9" spans="1:27" s="77" customFormat="1" ht="18.75" x14ac:dyDescent="0.2">
      <c r="A9" s="255">
        <v>0</v>
      </c>
      <c r="B9" s="255"/>
      <c r="C9" s="255"/>
      <c r="D9" s="255"/>
      <c r="E9" s="255"/>
      <c r="F9" s="255"/>
      <c r="G9" s="255"/>
      <c r="H9" s="255"/>
      <c r="I9" s="255"/>
      <c r="J9" s="255"/>
      <c r="K9" s="255"/>
      <c r="L9" s="255"/>
      <c r="M9" s="255"/>
      <c r="N9" s="255"/>
      <c r="O9" s="255"/>
      <c r="P9" s="255"/>
      <c r="Q9" s="255"/>
      <c r="R9" s="255"/>
      <c r="S9" s="255"/>
      <c r="T9" s="255"/>
      <c r="U9" s="17"/>
      <c r="V9" s="17"/>
      <c r="W9" s="17"/>
    </row>
    <row r="10" spans="1:27" s="77" customFormat="1" ht="18.75" customHeight="1" x14ac:dyDescent="0.2">
      <c r="A10" s="241" t="s">
        <v>264</v>
      </c>
      <c r="B10" s="241"/>
      <c r="C10" s="241"/>
      <c r="D10" s="241"/>
      <c r="E10" s="241"/>
      <c r="F10" s="241"/>
      <c r="G10" s="241"/>
      <c r="H10" s="241"/>
      <c r="I10" s="241"/>
      <c r="J10" s="241"/>
      <c r="K10" s="241"/>
      <c r="L10" s="241"/>
      <c r="M10" s="241"/>
      <c r="N10" s="241"/>
      <c r="O10" s="241"/>
      <c r="P10" s="241"/>
      <c r="Q10" s="241"/>
      <c r="R10" s="241"/>
      <c r="S10" s="241"/>
      <c r="T10" s="241"/>
      <c r="U10" s="83"/>
      <c r="V10" s="83"/>
      <c r="W10" s="83"/>
      <c r="X10" s="83"/>
      <c r="Y10" s="83"/>
    </row>
    <row r="11" spans="1:27" s="77" customFormat="1" ht="18.75" customHeight="1" x14ac:dyDescent="0.2">
      <c r="A11" s="246" t="s">
        <v>4</v>
      </c>
      <c r="B11" s="246"/>
      <c r="C11" s="246"/>
      <c r="D11" s="246"/>
      <c r="E11" s="246"/>
      <c r="F11" s="246"/>
      <c r="G11" s="246"/>
      <c r="H11" s="246"/>
      <c r="I11" s="246"/>
      <c r="J11" s="246"/>
      <c r="K11" s="246"/>
      <c r="L11" s="246"/>
      <c r="M11" s="246"/>
      <c r="N11" s="246"/>
      <c r="O11" s="246"/>
      <c r="P11" s="246"/>
      <c r="Q11" s="246"/>
      <c r="R11" s="246"/>
      <c r="S11" s="246"/>
      <c r="T11" s="246"/>
      <c r="U11" s="81"/>
      <c r="V11" s="81"/>
      <c r="W11" s="81"/>
      <c r="X11" s="81"/>
      <c r="Y11" s="81"/>
    </row>
    <row r="12" spans="1:27" s="77" customFormat="1" ht="18.75" x14ac:dyDescent="0.2">
      <c r="A12" s="255">
        <v>0</v>
      </c>
      <c r="B12" s="255"/>
      <c r="C12" s="255"/>
      <c r="D12" s="255"/>
      <c r="E12" s="255"/>
      <c r="F12" s="255"/>
      <c r="G12" s="255"/>
      <c r="H12" s="255"/>
      <c r="I12" s="255"/>
      <c r="J12" s="255"/>
      <c r="K12" s="255"/>
      <c r="L12" s="255"/>
      <c r="M12" s="255"/>
      <c r="N12" s="255"/>
      <c r="O12" s="255"/>
      <c r="P12" s="255"/>
      <c r="Q12" s="255"/>
      <c r="R12" s="255"/>
      <c r="S12" s="255"/>
      <c r="T12" s="255"/>
      <c r="U12" s="17"/>
      <c r="V12" s="17"/>
      <c r="W12" s="17"/>
    </row>
    <row r="13" spans="1:27" s="77" customFormat="1" ht="18.75" customHeight="1" x14ac:dyDescent="0.2">
      <c r="A13" s="241" t="str">
        <f>'1. паспорт местоположение'!$A$12</f>
        <v>L_Che370</v>
      </c>
      <c r="B13" s="241"/>
      <c r="C13" s="241"/>
      <c r="D13" s="241"/>
      <c r="E13" s="241"/>
      <c r="F13" s="241"/>
      <c r="G13" s="241"/>
      <c r="H13" s="241"/>
      <c r="I13" s="241"/>
      <c r="J13" s="241"/>
      <c r="K13" s="241"/>
      <c r="L13" s="241"/>
      <c r="M13" s="241"/>
      <c r="N13" s="241"/>
      <c r="O13" s="241"/>
      <c r="P13" s="241"/>
      <c r="Q13" s="241"/>
      <c r="R13" s="241"/>
      <c r="S13" s="241"/>
      <c r="T13" s="241"/>
      <c r="U13" s="83"/>
      <c r="V13" s="83"/>
      <c r="W13" s="83"/>
      <c r="X13" s="83"/>
      <c r="Y13" s="83"/>
    </row>
    <row r="14" spans="1:27" s="77" customFormat="1" ht="18.75" customHeight="1" x14ac:dyDescent="0.2">
      <c r="A14" s="246" t="s">
        <v>3</v>
      </c>
      <c r="B14" s="246"/>
      <c r="C14" s="246"/>
      <c r="D14" s="246"/>
      <c r="E14" s="246"/>
      <c r="F14" s="246"/>
      <c r="G14" s="246"/>
      <c r="H14" s="246"/>
      <c r="I14" s="246"/>
      <c r="J14" s="246"/>
      <c r="K14" s="246"/>
      <c r="L14" s="246"/>
      <c r="M14" s="246"/>
      <c r="N14" s="246"/>
      <c r="O14" s="246"/>
      <c r="P14" s="246"/>
      <c r="Q14" s="246"/>
      <c r="R14" s="246"/>
      <c r="S14" s="246"/>
      <c r="T14" s="246"/>
      <c r="U14" s="81"/>
      <c r="V14" s="81"/>
      <c r="W14" s="81"/>
      <c r="X14" s="81"/>
      <c r="Y14" s="81"/>
    </row>
    <row r="15" spans="1:27" s="80" customFormat="1" ht="15.75" customHeight="1" x14ac:dyDescent="0.2">
      <c r="A15" s="271">
        <v>0</v>
      </c>
      <c r="B15" s="271"/>
      <c r="C15" s="271"/>
      <c r="D15" s="271"/>
      <c r="E15" s="271"/>
      <c r="F15" s="271"/>
      <c r="G15" s="271"/>
      <c r="H15" s="271"/>
      <c r="I15" s="271"/>
      <c r="J15" s="271"/>
      <c r="K15" s="271"/>
      <c r="L15" s="271"/>
      <c r="M15" s="271"/>
      <c r="N15" s="271"/>
      <c r="O15" s="271"/>
      <c r="P15" s="271"/>
      <c r="Q15" s="271"/>
      <c r="R15" s="271"/>
      <c r="S15" s="271"/>
      <c r="T15" s="271"/>
      <c r="U15" s="1"/>
      <c r="V15" s="1"/>
      <c r="W15" s="1"/>
    </row>
    <row r="16" spans="1:27" s="25" customFormat="1" x14ac:dyDescent="0.2">
      <c r="A16" s="247" t="str">
        <f>'1. паспорт местоположение'!$A$15</f>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
      <c r="B16" s="247"/>
      <c r="C16" s="247"/>
      <c r="D16" s="247"/>
      <c r="E16" s="247"/>
      <c r="F16" s="247"/>
      <c r="G16" s="247"/>
      <c r="H16" s="247"/>
      <c r="I16" s="247"/>
      <c r="J16" s="247"/>
      <c r="K16" s="247"/>
      <c r="L16" s="247"/>
      <c r="M16" s="247"/>
      <c r="N16" s="247"/>
      <c r="O16" s="247"/>
      <c r="P16" s="247"/>
      <c r="Q16" s="247"/>
      <c r="R16" s="247"/>
      <c r="S16" s="247"/>
      <c r="T16" s="247"/>
      <c r="U16" s="83"/>
      <c r="V16" s="83"/>
      <c r="W16" s="83"/>
      <c r="X16" s="83"/>
      <c r="Y16" s="83"/>
    </row>
    <row r="17" spans="1:113" s="25" customFormat="1" ht="15" customHeight="1" x14ac:dyDescent="0.2">
      <c r="A17" s="246" t="s">
        <v>2</v>
      </c>
      <c r="B17" s="246"/>
      <c r="C17" s="246"/>
      <c r="D17" s="246"/>
      <c r="E17" s="246"/>
      <c r="F17" s="246"/>
      <c r="G17" s="246"/>
      <c r="H17" s="246"/>
      <c r="I17" s="246"/>
      <c r="J17" s="246"/>
      <c r="K17" s="246"/>
      <c r="L17" s="246"/>
      <c r="M17" s="246"/>
      <c r="N17" s="246"/>
      <c r="O17" s="246"/>
      <c r="P17" s="246"/>
      <c r="Q17" s="246"/>
      <c r="R17" s="246"/>
      <c r="S17" s="246"/>
      <c r="T17" s="246"/>
      <c r="U17" s="81"/>
      <c r="V17" s="81"/>
      <c r="W17" s="81"/>
      <c r="X17" s="81"/>
      <c r="Y17" s="81"/>
    </row>
    <row r="18" spans="1:113" s="25"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258"/>
    </row>
    <row r="19" spans="1:113" s="25" customFormat="1" ht="15" customHeight="1" x14ac:dyDescent="0.2">
      <c r="A19" s="259" t="s">
        <v>295</v>
      </c>
      <c r="B19" s="259"/>
      <c r="C19" s="259"/>
      <c r="D19" s="259"/>
      <c r="E19" s="259"/>
      <c r="F19" s="259"/>
      <c r="G19" s="259"/>
      <c r="H19" s="259"/>
      <c r="I19" s="259"/>
      <c r="J19" s="259"/>
      <c r="K19" s="259"/>
      <c r="L19" s="259"/>
      <c r="M19" s="259"/>
      <c r="N19" s="259"/>
      <c r="O19" s="259"/>
      <c r="P19" s="259"/>
      <c r="Q19" s="259"/>
      <c r="R19" s="259"/>
      <c r="S19" s="259"/>
      <c r="T19" s="259"/>
    </row>
    <row r="20" spans="1:113" s="26" customFormat="1" ht="21" customHeight="1" x14ac:dyDescent="0.25">
      <c r="A20" s="260"/>
      <c r="B20" s="260"/>
      <c r="C20" s="260"/>
      <c r="D20" s="260"/>
      <c r="E20" s="260"/>
      <c r="F20" s="260"/>
      <c r="G20" s="260"/>
      <c r="H20" s="260"/>
      <c r="I20" s="260"/>
      <c r="J20" s="260"/>
      <c r="K20" s="260"/>
      <c r="L20" s="260"/>
      <c r="M20" s="260"/>
      <c r="N20" s="260"/>
      <c r="O20" s="260"/>
      <c r="P20" s="260"/>
      <c r="Q20" s="260"/>
      <c r="R20" s="260"/>
      <c r="S20" s="260"/>
      <c r="T20" s="260"/>
    </row>
    <row r="21" spans="1:113" ht="46.5" customHeight="1" x14ac:dyDescent="0.25">
      <c r="A21" s="261" t="s">
        <v>1</v>
      </c>
      <c r="B21" s="264" t="s">
        <v>296</v>
      </c>
      <c r="C21" s="265"/>
      <c r="D21" s="268" t="s">
        <v>297</v>
      </c>
      <c r="E21" s="264" t="s">
        <v>298</v>
      </c>
      <c r="F21" s="265"/>
      <c r="G21" s="264" t="s">
        <v>299</v>
      </c>
      <c r="H21" s="265"/>
      <c r="I21" s="264" t="s">
        <v>300</v>
      </c>
      <c r="J21" s="265"/>
      <c r="K21" s="268" t="s">
        <v>301</v>
      </c>
      <c r="L21" s="264" t="s">
        <v>302</v>
      </c>
      <c r="M21" s="265"/>
      <c r="N21" s="264" t="s">
        <v>303</v>
      </c>
      <c r="O21" s="265"/>
      <c r="P21" s="268" t="s">
        <v>304</v>
      </c>
      <c r="Q21" s="256" t="s">
        <v>36</v>
      </c>
      <c r="R21" s="273"/>
      <c r="S21" s="256" t="s">
        <v>35</v>
      </c>
      <c r="T21" s="257"/>
    </row>
    <row r="22" spans="1:113" ht="204.75" customHeight="1" x14ac:dyDescent="0.25">
      <c r="A22" s="262"/>
      <c r="B22" s="266"/>
      <c r="C22" s="267"/>
      <c r="D22" s="269"/>
      <c r="E22" s="266"/>
      <c r="F22" s="267"/>
      <c r="G22" s="266"/>
      <c r="H22" s="267"/>
      <c r="I22" s="266"/>
      <c r="J22" s="267"/>
      <c r="K22" s="270"/>
      <c r="L22" s="266"/>
      <c r="M22" s="267"/>
      <c r="N22" s="266"/>
      <c r="O22" s="267"/>
      <c r="P22" s="270"/>
      <c r="Q22" s="27" t="s">
        <v>34</v>
      </c>
      <c r="R22" s="27" t="s">
        <v>242</v>
      </c>
      <c r="S22" s="27" t="s">
        <v>33</v>
      </c>
      <c r="T22" s="27" t="s">
        <v>32</v>
      </c>
    </row>
    <row r="23" spans="1:113" ht="51.75" customHeight="1" x14ac:dyDescent="0.25">
      <c r="A23" s="263"/>
      <c r="B23" s="27" t="s">
        <v>30</v>
      </c>
      <c r="C23" s="27" t="s">
        <v>31</v>
      </c>
      <c r="D23" s="270"/>
      <c r="E23" s="27" t="s">
        <v>30</v>
      </c>
      <c r="F23" s="27" t="s">
        <v>31</v>
      </c>
      <c r="G23" s="27" t="s">
        <v>30</v>
      </c>
      <c r="H23" s="27" t="s">
        <v>31</v>
      </c>
      <c r="I23" s="27" t="s">
        <v>30</v>
      </c>
      <c r="J23" s="27" t="s">
        <v>31</v>
      </c>
      <c r="K23" s="27" t="s">
        <v>30</v>
      </c>
      <c r="L23" s="27" t="s">
        <v>30</v>
      </c>
      <c r="M23" s="27" t="s">
        <v>31</v>
      </c>
      <c r="N23" s="27" t="s">
        <v>30</v>
      </c>
      <c r="O23" s="27" t="s">
        <v>31</v>
      </c>
      <c r="P23" s="79"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8">
        <v>1</v>
      </c>
      <c r="B25" s="199" t="s">
        <v>624</v>
      </c>
      <c r="C25" s="199" t="s">
        <v>624</v>
      </c>
      <c r="D25" s="28" t="s">
        <v>625</v>
      </c>
      <c r="E25" s="28" t="s">
        <v>626</v>
      </c>
      <c r="F25" s="28" t="s">
        <v>627</v>
      </c>
      <c r="G25" s="198" t="s">
        <v>628</v>
      </c>
      <c r="H25" s="198" t="s">
        <v>628</v>
      </c>
      <c r="I25" s="28" t="s">
        <v>294</v>
      </c>
      <c r="J25" s="28" t="s">
        <v>629</v>
      </c>
      <c r="K25" s="28" t="s">
        <v>294</v>
      </c>
      <c r="L25" s="28">
        <v>10</v>
      </c>
      <c r="M25" s="28">
        <v>10</v>
      </c>
      <c r="N25" s="28">
        <v>0.16</v>
      </c>
      <c r="O25" s="28">
        <v>0.16</v>
      </c>
      <c r="P25" s="28" t="s">
        <v>294</v>
      </c>
      <c r="Q25" s="28" t="s">
        <v>492</v>
      </c>
      <c r="R25" s="28" t="s">
        <v>492</v>
      </c>
      <c r="S25" s="28" t="s">
        <v>492</v>
      </c>
      <c r="T25" s="28" t="s">
        <v>492</v>
      </c>
    </row>
    <row r="26" spans="1:113" x14ac:dyDescent="0.25">
      <c r="A26" s="28">
        <v>2</v>
      </c>
      <c r="B26" s="199" t="s">
        <v>630</v>
      </c>
      <c r="C26" s="199" t="s">
        <v>630</v>
      </c>
      <c r="D26" s="28" t="s">
        <v>625</v>
      </c>
      <c r="E26" s="28" t="s">
        <v>626</v>
      </c>
      <c r="F26" s="28" t="s">
        <v>627</v>
      </c>
      <c r="G26" s="198" t="s">
        <v>631</v>
      </c>
      <c r="H26" s="198" t="s">
        <v>631</v>
      </c>
      <c r="I26" s="28" t="s">
        <v>294</v>
      </c>
      <c r="J26" s="28" t="s">
        <v>629</v>
      </c>
      <c r="K26" s="28" t="s">
        <v>294</v>
      </c>
      <c r="L26" s="28">
        <v>10</v>
      </c>
      <c r="M26" s="28">
        <v>10</v>
      </c>
      <c r="N26" s="28">
        <v>0.25</v>
      </c>
      <c r="O26" s="28">
        <v>0.25</v>
      </c>
      <c r="P26" s="28" t="s">
        <v>294</v>
      </c>
      <c r="Q26" s="28" t="s">
        <v>492</v>
      </c>
      <c r="R26" s="28" t="s">
        <v>492</v>
      </c>
      <c r="S26" s="28" t="s">
        <v>492</v>
      </c>
      <c r="T26" s="28" t="s">
        <v>492</v>
      </c>
    </row>
    <row r="27" spans="1:113" s="31" customFormat="1" x14ac:dyDescent="0.25">
      <c r="A27" s="28">
        <v>3</v>
      </c>
      <c r="B27" s="199" t="s">
        <v>632</v>
      </c>
      <c r="C27" s="199" t="s">
        <v>632</v>
      </c>
      <c r="D27" s="28" t="s">
        <v>625</v>
      </c>
      <c r="E27" s="28" t="s">
        <v>626</v>
      </c>
      <c r="F27" s="28" t="s">
        <v>627</v>
      </c>
      <c r="G27" s="198" t="s">
        <v>633</v>
      </c>
      <c r="H27" s="198" t="s">
        <v>633</v>
      </c>
      <c r="I27" s="28" t="s">
        <v>294</v>
      </c>
      <c r="J27" s="28" t="s">
        <v>629</v>
      </c>
      <c r="K27" s="28" t="s">
        <v>294</v>
      </c>
      <c r="L27" s="28">
        <v>10</v>
      </c>
      <c r="M27" s="28">
        <v>10</v>
      </c>
      <c r="N27" s="28">
        <v>0.25</v>
      </c>
      <c r="O27" s="28">
        <v>0.25</v>
      </c>
      <c r="P27" s="28" t="s">
        <v>294</v>
      </c>
      <c r="Q27" s="28" t="s">
        <v>492</v>
      </c>
      <c r="R27" s="28" t="s">
        <v>492</v>
      </c>
      <c r="S27" s="28" t="s">
        <v>492</v>
      </c>
      <c r="T27" s="28" t="s">
        <v>492</v>
      </c>
    </row>
    <row r="28" spans="1:113" s="31" customFormat="1" x14ac:dyDescent="0.25">
      <c r="A28" s="28">
        <v>4</v>
      </c>
      <c r="B28" s="199" t="s">
        <v>634</v>
      </c>
      <c r="C28" s="199" t="s">
        <v>634</v>
      </c>
      <c r="D28" s="28" t="s">
        <v>625</v>
      </c>
      <c r="E28" s="28" t="s">
        <v>626</v>
      </c>
      <c r="F28" s="28" t="s">
        <v>627</v>
      </c>
      <c r="G28" s="198" t="s">
        <v>635</v>
      </c>
      <c r="H28" s="198" t="s">
        <v>635</v>
      </c>
      <c r="I28" s="28" t="s">
        <v>294</v>
      </c>
      <c r="J28" s="28" t="s">
        <v>629</v>
      </c>
      <c r="K28" s="28" t="s">
        <v>294</v>
      </c>
      <c r="L28" s="28">
        <v>10</v>
      </c>
      <c r="M28" s="28">
        <v>10</v>
      </c>
      <c r="N28" s="28">
        <v>0.1</v>
      </c>
      <c r="O28" s="28">
        <v>0.16</v>
      </c>
      <c r="P28" s="28" t="s">
        <v>294</v>
      </c>
      <c r="Q28" s="28" t="s">
        <v>492</v>
      </c>
      <c r="R28" s="28" t="s">
        <v>492</v>
      </c>
      <c r="S28" s="28" t="s">
        <v>492</v>
      </c>
      <c r="T28" s="28" t="s">
        <v>492</v>
      </c>
    </row>
    <row r="29" spans="1:113" x14ac:dyDescent="0.25">
      <c r="A29" s="28">
        <v>5</v>
      </c>
      <c r="B29" s="199" t="s">
        <v>636</v>
      </c>
      <c r="C29" s="199" t="s">
        <v>636</v>
      </c>
      <c r="D29" s="28" t="s">
        <v>625</v>
      </c>
      <c r="E29" s="28" t="s">
        <v>626</v>
      </c>
      <c r="F29" s="28" t="s">
        <v>627</v>
      </c>
      <c r="G29" s="198" t="s">
        <v>637</v>
      </c>
      <c r="H29" s="198" t="s">
        <v>637</v>
      </c>
      <c r="I29" s="28" t="s">
        <v>294</v>
      </c>
      <c r="J29" s="28" t="s">
        <v>629</v>
      </c>
      <c r="K29" s="28" t="s">
        <v>294</v>
      </c>
      <c r="L29" s="28">
        <v>10</v>
      </c>
      <c r="M29" s="28">
        <v>10</v>
      </c>
      <c r="N29" s="28">
        <v>0.1</v>
      </c>
      <c r="O29" s="28">
        <v>0.16</v>
      </c>
      <c r="P29" s="28" t="s">
        <v>294</v>
      </c>
      <c r="Q29" s="28" t="s">
        <v>492</v>
      </c>
      <c r="R29" s="28" t="s">
        <v>492</v>
      </c>
      <c r="S29" s="28" t="s">
        <v>492</v>
      </c>
      <c r="T29" s="28" t="s">
        <v>492</v>
      </c>
    </row>
    <row r="30" spans="1:113" x14ac:dyDescent="0.25">
      <c r="A30" s="28">
        <v>6</v>
      </c>
      <c r="B30" s="199" t="s">
        <v>638</v>
      </c>
      <c r="C30" s="199" t="s">
        <v>638</v>
      </c>
      <c r="D30" s="28" t="s">
        <v>625</v>
      </c>
      <c r="E30" s="28" t="s">
        <v>626</v>
      </c>
      <c r="F30" s="28" t="s">
        <v>627</v>
      </c>
      <c r="G30" s="198" t="s">
        <v>639</v>
      </c>
      <c r="H30" s="198" t="s">
        <v>639</v>
      </c>
      <c r="I30" s="28" t="s">
        <v>294</v>
      </c>
      <c r="J30" s="28" t="s">
        <v>629</v>
      </c>
      <c r="K30" s="28" t="s">
        <v>294</v>
      </c>
      <c r="L30" s="28">
        <v>10</v>
      </c>
      <c r="M30" s="28">
        <v>10</v>
      </c>
      <c r="N30" s="28">
        <v>0.1</v>
      </c>
      <c r="O30" s="28">
        <v>0.16</v>
      </c>
      <c r="P30" s="28" t="s">
        <v>294</v>
      </c>
      <c r="Q30" s="28" t="s">
        <v>492</v>
      </c>
      <c r="R30" s="28" t="s">
        <v>492</v>
      </c>
      <c r="S30" s="28" t="s">
        <v>492</v>
      </c>
      <c r="T30" s="28" t="s">
        <v>492</v>
      </c>
      <c r="U30" s="33"/>
      <c r="V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row>
    <row r="31" spans="1:113" x14ac:dyDescent="0.25">
      <c r="A31" s="28">
        <v>7</v>
      </c>
      <c r="B31" s="199" t="s">
        <v>640</v>
      </c>
      <c r="C31" s="199" t="s">
        <v>640</v>
      </c>
      <c r="D31" s="28" t="s">
        <v>625</v>
      </c>
      <c r="E31" s="28" t="s">
        <v>626</v>
      </c>
      <c r="F31" s="28" t="s">
        <v>627</v>
      </c>
      <c r="G31" s="198" t="s">
        <v>641</v>
      </c>
      <c r="H31" s="198" t="s">
        <v>641</v>
      </c>
      <c r="I31" s="28" t="s">
        <v>294</v>
      </c>
      <c r="J31" s="28" t="s">
        <v>629</v>
      </c>
      <c r="K31" s="28" t="s">
        <v>294</v>
      </c>
      <c r="L31" s="28">
        <v>10</v>
      </c>
      <c r="M31" s="28">
        <v>10</v>
      </c>
      <c r="N31" s="28">
        <v>0.18</v>
      </c>
      <c r="O31" s="28">
        <v>0.25</v>
      </c>
      <c r="P31" s="28" t="s">
        <v>294</v>
      </c>
      <c r="Q31" s="28" t="s">
        <v>492</v>
      </c>
      <c r="R31" s="28" t="s">
        <v>492</v>
      </c>
      <c r="S31" s="28" t="s">
        <v>492</v>
      </c>
      <c r="T31" s="28" t="s">
        <v>492</v>
      </c>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A32" s="28">
        <v>8</v>
      </c>
      <c r="B32" s="199" t="s">
        <v>642</v>
      </c>
      <c r="C32" s="199" t="s">
        <v>642</v>
      </c>
      <c r="D32" s="28" t="s">
        <v>625</v>
      </c>
      <c r="E32" s="28" t="s">
        <v>626</v>
      </c>
      <c r="F32" s="28" t="s">
        <v>627</v>
      </c>
      <c r="G32" s="198" t="s">
        <v>643</v>
      </c>
      <c r="H32" s="198" t="s">
        <v>643</v>
      </c>
      <c r="I32" s="28" t="s">
        <v>294</v>
      </c>
      <c r="J32" s="28" t="s">
        <v>629</v>
      </c>
      <c r="K32" s="28" t="s">
        <v>294</v>
      </c>
      <c r="L32" s="28">
        <v>10</v>
      </c>
      <c r="M32" s="28">
        <v>10</v>
      </c>
      <c r="N32" s="28">
        <v>0.16</v>
      </c>
      <c r="O32" s="28">
        <v>0.16</v>
      </c>
      <c r="P32" s="28" t="s">
        <v>294</v>
      </c>
      <c r="Q32" s="28" t="s">
        <v>492</v>
      </c>
      <c r="R32" s="28" t="s">
        <v>492</v>
      </c>
      <c r="S32" s="28" t="s">
        <v>492</v>
      </c>
      <c r="T32" s="28" t="s">
        <v>492</v>
      </c>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row>
    <row r="33" spans="1:113" s="35" customFormat="1" x14ac:dyDescent="0.25">
      <c r="A33" s="28">
        <v>9</v>
      </c>
      <c r="B33" s="199" t="s">
        <v>644</v>
      </c>
      <c r="C33" s="199" t="s">
        <v>644</v>
      </c>
      <c r="D33" s="28" t="s">
        <v>625</v>
      </c>
      <c r="E33" s="28" t="s">
        <v>626</v>
      </c>
      <c r="F33" s="28" t="s">
        <v>627</v>
      </c>
      <c r="G33" s="198" t="s">
        <v>645</v>
      </c>
      <c r="H33" s="198" t="s">
        <v>645</v>
      </c>
      <c r="I33" s="28" t="s">
        <v>294</v>
      </c>
      <c r="J33" s="28" t="s">
        <v>629</v>
      </c>
      <c r="K33" s="28" t="s">
        <v>294</v>
      </c>
      <c r="L33" s="28">
        <v>10</v>
      </c>
      <c r="M33" s="28">
        <v>10</v>
      </c>
      <c r="N33" s="28">
        <v>0.25</v>
      </c>
      <c r="O33" s="28">
        <v>0.4</v>
      </c>
      <c r="P33" s="28" t="s">
        <v>294</v>
      </c>
      <c r="Q33" s="28" t="s">
        <v>492</v>
      </c>
      <c r="R33" s="28" t="s">
        <v>492</v>
      </c>
      <c r="S33" s="28" t="s">
        <v>492</v>
      </c>
      <c r="T33" s="28" t="s">
        <v>492</v>
      </c>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1:113" s="35" customFormat="1" x14ac:dyDescent="0.25">
      <c r="A34" s="28">
        <v>10</v>
      </c>
      <c r="B34" s="199" t="s">
        <v>646</v>
      </c>
      <c r="C34" s="199" t="s">
        <v>646</v>
      </c>
      <c r="D34" s="28" t="s">
        <v>625</v>
      </c>
      <c r="E34" s="28" t="s">
        <v>626</v>
      </c>
      <c r="F34" s="28" t="s">
        <v>627</v>
      </c>
      <c r="G34" s="198" t="s">
        <v>647</v>
      </c>
      <c r="H34" s="198" t="s">
        <v>647</v>
      </c>
      <c r="I34" s="28" t="s">
        <v>294</v>
      </c>
      <c r="J34" s="28" t="s">
        <v>629</v>
      </c>
      <c r="K34" s="28" t="s">
        <v>294</v>
      </c>
      <c r="L34" s="28">
        <v>10</v>
      </c>
      <c r="M34" s="28">
        <v>10</v>
      </c>
      <c r="N34" s="28">
        <v>0.4</v>
      </c>
      <c r="O34" s="28">
        <v>0.4</v>
      </c>
      <c r="P34" s="28" t="s">
        <v>294</v>
      </c>
      <c r="Q34" s="28" t="s">
        <v>492</v>
      </c>
      <c r="R34" s="28" t="s">
        <v>492</v>
      </c>
      <c r="S34" s="28" t="s">
        <v>492</v>
      </c>
      <c r="T34" s="28" t="s">
        <v>492</v>
      </c>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1:113" s="35" customFormat="1" x14ac:dyDescent="0.25">
      <c r="A35" s="28">
        <v>11</v>
      </c>
      <c r="B35" s="199" t="s">
        <v>648</v>
      </c>
      <c r="C35" s="199" t="s">
        <v>648</v>
      </c>
      <c r="D35" s="28" t="s">
        <v>625</v>
      </c>
      <c r="E35" s="28" t="s">
        <v>626</v>
      </c>
      <c r="F35" s="28" t="s">
        <v>627</v>
      </c>
      <c r="G35" s="198" t="s">
        <v>649</v>
      </c>
      <c r="H35" s="198" t="s">
        <v>649</v>
      </c>
      <c r="I35" s="28" t="s">
        <v>294</v>
      </c>
      <c r="J35" s="28" t="s">
        <v>629</v>
      </c>
      <c r="K35" s="28" t="s">
        <v>294</v>
      </c>
      <c r="L35" s="28">
        <v>10</v>
      </c>
      <c r="M35" s="28">
        <v>10</v>
      </c>
      <c r="N35" s="28">
        <v>0.16</v>
      </c>
      <c r="O35" s="28">
        <v>0.25</v>
      </c>
      <c r="P35" s="28" t="s">
        <v>294</v>
      </c>
      <c r="Q35" s="28" t="s">
        <v>492</v>
      </c>
      <c r="R35" s="28" t="s">
        <v>492</v>
      </c>
      <c r="S35" s="28" t="s">
        <v>492</v>
      </c>
      <c r="T35" s="28" t="s">
        <v>492</v>
      </c>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1:113" s="35" customFormat="1" x14ac:dyDescent="0.25">
      <c r="A36" s="28">
        <v>12</v>
      </c>
      <c r="B36" s="199" t="s">
        <v>650</v>
      </c>
      <c r="C36" s="199" t="s">
        <v>650</v>
      </c>
      <c r="D36" s="28" t="s">
        <v>625</v>
      </c>
      <c r="E36" s="28" t="s">
        <v>626</v>
      </c>
      <c r="F36" s="28" t="s">
        <v>627</v>
      </c>
      <c r="G36" s="198" t="s">
        <v>651</v>
      </c>
      <c r="H36" s="198" t="s">
        <v>651</v>
      </c>
      <c r="I36" s="28" t="s">
        <v>294</v>
      </c>
      <c r="J36" s="28" t="s">
        <v>629</v>
      </c>
      <c r="K36" s="28" t="s">
        <v>294</v>
      </c>
      <c r="L36" s="28">
        <v>10</v>
      </c>
      <c r="M36" s="28">
        <v>10</v>
      </c>
      <c r="N36" s="28">
        <v>0.25</v>
      </c>
      <c r="O36" s="28">
        <v>0.25</v>
      </c>
      <c r="P36" s="28" t="s">
        <v>294</v>
      </c>
      <c r="Q36" s="28" t="s">
        <v>492</v>
      </c>
      <c r="R36" s="28" t="s">
        <v>492</v>
      </c>
      <c r="S36" s="28" t="s">
        <v>492</v>
      </c>
      <c r="T36" s="28" t="s">
        <v>492</v>
      </c>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1:113" s="35" customFormat="1" x14ac:dyDescent="0.25">
      <c r="A37" s="28">
        <v>13</v>
      </c>
      <c r="B37" s="199" t="s">
        <v>652</v>
      </c>
      <c r="C37" s="199" t="s">
        <v>652</v>
      </c>
      <c r="D37" s="28" t="s">
        <v>625</v>
      </c>
      <c r="E37" s="28" t="s">
        <v>626</v>
      </c>
      <c r="F37" s="28" t="s">
        <v>627</v>
      </c>
      <c r="G37" s="198" t="s">
        <v>653</v>
      </c>
      <c r="H37" s="198" t="s">
        <v>653</v>
      </c>
      <c r="I37" s="28" t="s">
        <v>294</v>
      </c>
      <c r="J37" s="28" t="s">
        <v>629</v>
      </c>
      <c r="K37" s="28" t="s">
        <v>294</v>
      </c>
      <c r="L37" s="28">
        <v>10</v>
      </c>
      <c r="M37" s="28">
        <v>10</v>
      </c>
      <c r="N37" s="28">
        <v>0.25</v>
      </c>
      <c r="O37" s="28">
        <v>0.25</v>
      </c>
      <c r="P37" s="28" t="s">
        <v>294</v>
      </c>
      <c r="Q37" s="28" t="s">
        <v>492</v>
      </c>
      <c r="R37" s="28" t="s">
        <v>492</v>
      </c>
      <c r="S37" s="28" t="s">
        <v>492</v>
      </c>
      <c r="T37" s="28" t="s">
        <v>492</v>
      </c>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1:113" s="35" customFormat="1" x14ac:dyDescent="0.25">
      <c r="A38" s="28">
        <v>14</v>
      </c>
      <c r="B38" s="199" t="s">
        <v>654</v>
      </c>
      <c r="C38" s="199" t="s">
        <v>654</v>
      </c>
      <c r="D38" s="28" t="s">
        <v>625</v>
      </c>
      <c r="E38" s="28" t="s">
        <v>626</v>
      </c>
      <c r="F38" s="28" t="s">
        <v>627</v>
      </c>
      <c r="G38" s="198" t="s">
        <v>655</v>
      </c>
      <c r="H38" s="198" t="s">
        <v>655</v>
      </c>
      <c r="I38" s="28" t="s">
        <v>294</v>
      </c>
      <c r="J38" s="28" t="s">
        <v>629</v>
      </c>
      <c r="K38" s="28" t="s">
        <v>294</v>
      </c>
      <c r="L38" s="28">
        <v>10</v>
      </c>
      <c r="M38" s="28">
        <v>10</v>
      </c>
      <c r="N38" s="28">
        <v>0.1</v>
      </c>
      <c r="O38" s="28">
        <v>0.1</v>
      </c>
      <c r="P38" s="28" t="s">
        <v>294</v>
      </c>
      <c r="Q38" s="28" t="s">
        <v>492</v>
      </c>
      <c r="R38" s="28" t="s">
        <v>492</v>
      </c>
      <c r="S38" s="28" t="s">
        <v>492</v>
      </c>
      <c r="T38" s="28" t="s">
        <v>492</v>
      </c>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1:113" s="35" customFormat="1" x14ac:dyDescent="0.25">
      <c r="A39" s="28">
        <v>15</v>
      </c>
      <c r="B39" s="199" t="s">
        <v>656</v>
      </c>
      <c r="C39" s="199" t="s">
        <v>656</v>
      </c>
      <c r="D39" s="28" t="s">
        <v>625</v>
      </c>
      <c r="E39" s="28" t="s">
        <v>626</v>
      </c>
      <c r="F39" s="28" t="s">
        <v>627</v>
      </c>
      <c r="G39" s="198" t="s">
        <v>657</v>
      </c>
      <c r="H39" s="198" t="s">
        <v>657</v>
      </c>
      <c r="I39" s="28" t="s">
        <v>294</v>
      </c>
      <c r="J39" s="28" t="s">
        <v>629</v>
      </c>
      <c r="K39" s="28" t="s">
        <v>294</v>
      </c>
      <c r="L39" s="28">
        <v>10</v>
      </c>
      <c r="M39" s="28">
        <v>10</v>
      </c>
      <c r="N39" s="28">
        <v>0.32</v>
      </c>
      <c r="O39" s="28">
        <v>0.4</v>
      </c>
      <c r="P39" s="28" t="s">
        <v>294</v>
      </c>
      <c r="Q39" s="28" t="s">
        <v>492</v>
      </c>
      <c r="R39" s="28" t="s">
        <v>492</v>
      </c>
      <c r="S39" s="28" t="s">
        <v>492</v>
      </c>
      <c r="T39" s="28" t="s">
        <v>492</v>
      </c>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1:113" s="35" customFormat="1" x14ac:dyDescent="0.25">
      <c r="A40" s="28">
        <v>16</v>
      </c>
      <c r="B40" s="199" t="s">
        <v>658</v>
      </c>
      <c r="C40" s="199" t="s">
        <v>658</v>
      </c>
      <c r="D40" s="28" t="s">
        <v>625</v>
      </c>
      <c r="E40" s="28" t="s">
        <v>626</v>
      </c>
      <c r="F40" s="28" t="s">
        <v>627</v>
      </c>
      <c r="G40" s="198" t="s">
        <v>659</v>
      </c>
      <c r="H40" s="198" t="s">
        <v>659</v>
      </c>
      <c r="I40" s="28" t="s">
        <v>294</v>
      </c>
      <c r="J40" s="28" t="s">
        <v>629</v>
      </c>
      <c r="K40" s="28" t="s">
        <v>294</v>
      </c>
      <c r="L40" s="28">
        <v>10</v>
      </c>
      <c r="M40" s="28">
        <v>10</v>
      </c>
      <c r="N40" s="28">
        <v>0.16</v>
      </c>
      <c r="O40" s="28">
        <v>0.4</v>
      </c>
      <c r="P40" s="28" t="s">
        <v>294</v>
      </c>
      <c r="Q40" s="28" t="s">
        <v>492</v>
      </c>
      <c r="R40" s="28" t="s">
        <v>492</v>
      </c>
      <c r="S40" s="28" t="s">
        <v>492</v>
      </c>
      <c r="T40" s="28" t="s">
        <v>492</v>
      </c>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1:113" s="35" customFormat="1" x14ac:dyDescent="0.25">
      <c r="A41" s="28">
        <v>17</v>
      </c>
      <c r="B41" s="199" t="s">
        <v>660</v>
      </c>
      <c r="C41" s="199" t="s">
        <v>660</v>
      </c>
      <c r="D41" s="28" t="s">
        <v>625</v>
      </c>
      <c r="E41" s="28" t="s">
        <v>626</v>
      </c>
      <c r="F41" s="28" t="s">
        <v>627</v>
      </c>
      <c r="G41" s="198" t="s">
        <v>661</v>
      </c>
      <c r="H41" s="198" t="s">
        <v>661</v>
      </c>
      <c r="I41" s="28" t="s">
        <v>294</v>
      </c>
      <c r="J41" s="28" t="s">
        <v>629</v>
      </c>
      <c r="K41" s="28" t="s">
        <v>294</v>
      </c>
      <c r="L41" s="28">
        <v>10</v>
      </c>
      <c r="M41" s="28">
        <v>10</v>
      </c>
      <c r="N41" s="28">
        <v>0.25</v>
      </c>
      <c r="O41" s="28">
        <v>0.25</v>
      </c>
      <c r="P41" s="28" t="s">
        <v>294</v>
      </c>
      <c r="Q41" s="28" t="s">
        <v>492</v>
      </c>
      <c r="R41" s="28" t="s">
        <v>492</v>
      </c>
      <c r="S41" s="28" t="s">
        <v>492</v>
      </c>
      <c r="T41" s="28" t="s">
        <v>492</v>
      </c>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1:113" s="35" customFormat="1" x14ac:dyDescent="0.25">
      <c r="A42" s="28">
        <v>18</v>
      </c>
      <c r="B42" s="199" t="s">
        <v>662</v>
      </c>
      <c r="C42" s="199" t="s">
        <v>662</v>
      </c>
      <c r="D42" s="28" t="s">
        <v>625</v>
      </c>
      <c r="E42" s="28" t="s">
        <v>626</v>
      </c>
      <c r="F42" s="28" t="s">
        <v>627</v>
      </c>
      <c r="G42" s="198" t="s">
        <v>663</v>
      </c>
      <c r="H42" s="198" t="s">
        <v>663</v>
      </c>
      <c r="I42" s="28" t="s">
        <v>294</v>
      </c>
      <c r="J42" s="28" t="s">
        <v>629</v>
      </c>
      <c r="K42" s="28" t="s">
        <v>294</v>
      </c>
      <c r="L42" s="28">
        <v>10</v>
      </c>
      <c r="M42" s="28">
        <v>10</v>
      </c>
      <c r="N42" s="28">
        <v>0.25</v>
      </c>
      <c r="O42" s="28">
        <v>0.25</v>
      </c>
      <c r="P42" s="28" t="s">
        <v>294</v>
      </c>
      <c r="Q42" s="28" t="s">
        <v>492</v>
      </c>
      <c r="R42" s="28" t="s">
        <v>492</v>
      </c>
      <c r="S42" s="28" t="s">
        <v>492</v>
      </c>
      <c r="T42" s="28" t="s">
        <v>492</v>
      </c>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row r="43" spans="1:113" x14ac:dyDescent="0.25">
      <c r="A43" s="28">
        <v>19</v>
      </c>
      <c r="B43" s="199" t="s">
        <v>664</v>
      </c>
      <c r="C43" s="199" t="s">
        <v>664</v>
      </c>
      <c r="D43" s="28" t="s">
        <v>625</v>
      </c>
      <c r="E43" s="28" t="s">
        <v>626</v>
      </c>
      <c r="F43" s="28" t="s">
        <v>627</v>
      </c>
      <c r="G43" s="198" t="s">
        <v>665</v>
      </c>
      <c r="H43" s="198" t="s">
        <v>665</v>
      </c>
      <c r="I43" s="28" t="s">
        <v>294</v>
      </c>
      <c r="J43" s="28" t="s">
        <v>629</v>
      </c>
      <c r="K43" s="28" t="s">
        <v>294</v>
      </c>
      <c r="L43" s="28">
        <v>10</v>
      </c>
      <c r="M43" s="28">
        <v>10</v>
      </c>
      <c r="N43" s="28">
        <v>0.1</v>
      </c>
      <c r="O43" s="28">
        <v>0.1</v>
      </c>
      <c r="P43" s="28" t="s">
        <v>294</v>
      </c>
      <c r="Q43" s="28" t="s">
        <v>492</v>
      </c>
      <c r="R43" s="28" t="s">
        <v>492</v>
      </c>
      <c r="S43" s="28" t="s">
        <v>492</v>
      </c>
      <c r="T43" s="28" t="s">
        <v>492</v>
      </c>
    </row>
    <row r="44" spans="1:113" x14ac:dyDescent="0.25">
      <c r="A44" s="28">
        <v>20</v>
      </c>
      <c r="B44" s="199" t="s">
        <v>666</v>
      </c>
      <c r="C44" s="199" t="s">
        <v>666</v>
      </c>
      <c r="D44" s="28" t="s">
        <v>625</v>
      </c>
      <c r="E44" s="28" t="s">
        <v>626</v>
      </c>
      <c r="F44" s="28" t="s">
        <v>627</v>
      </c>
      <c r="G44" s="198" t="s">
        <v>628</v>
      </c>
      <c r="H44" s="198" t="s">
        <v>628</v>
      </c>
      <c r="I44" s="28" t="s">
        <v>294</v>
      </c>
      <c r="J44" s="28" t="s">
        <v>629</v>
      </c>
      <c r="K44" s="28" t="s">
        <v>294</v>
      </c>
      <c r="L44" s="28">
        <v>10</v>
      </c>
      <c r="M44" s="28">
        <v>10</v>
      </c>
      <c r="N44" s="28">
        <v>0.4</v>
      </c>
      <c r="O44" s="28">
        <v>0.4</v>
      </c>
      <c r="P44" s="28" t="s">
        <v>294</v>
      </c>
      <c r="Q44" s="28" t="s">
        <v>492</v>
      </c>
      <c r="R44" s="28" t="s">
        <v>492</v>
      </c>
      <c r="S44" s="28" t="s">
        <v>492</v>
      </c>
      <c r="T44" s="28" t="s">
        <v>492</v>
      </c>
    </row>
    <row r="45" spans="1:113" x14ac:dyDescent="0.25">
      <c r="A45" s="28">
        <v>21</v>
      </c>
      <c r="B45" s="199" t="s">
        <v>667</v>
      </c>
      <c r="C45" s="199" t="s">
        <v>667</v>
      </c>
      <c r="D45" s="28" t="s">
        <v>625</v>
      </c>
      <c r="E45" s="28" t="s">
        <v>626</v>
      </c>
      <c r="F45" s="28" t="s">
        <v>627</v>
      </c>
      <c r="G45" s="198" t="s">
        <v>668</v>
      </c>
      <c r="H45" s="198" t="s">
        <v>668</v>
      </c>
      <c r="I45" s="28" t="s">
        <v>294</v>
      </c>
      <c r="J45" s="28" t="s">
        <v>629</v>
      </c>
      <c r="K45" s="28" t="s">
        <v>294</v>
      </c>
      <c r="L45" s="28">
        <v>10</v>
      </c>
      <c r="M45" s="28">
        <v>10</v>
      </c>
      <c r="N45" s="28">
        <v>0.4</v>
      </c>
      <c r="O45" s="28">
        <v>0.4</v>
      </c>
      <c r="P45" s="28" t="s">
        <v>294</v>
      </c>
      <c r="Q45" s="28" t="s">
        <v>492</v>
      </c>
      <c r="R45" s="28" t="s">
        <v>492</v>
      </c>
      <c r="S45" s="28" t="s">
        <v>492</v>
      </c>
      <c r="T45" s="28" t="s">
        <v>492</v>
      </c>
    </row>
    <row r="46" spans="1:113" x14ac:dyDescent="0.25">
      <c r="A46" s="28">
        <v>22</v>
      </c>
      <c r="B46" s="199" t="s">
        <v>669</v>
      </c>
      <c r="C46" s="199" t="s">
        <v>669</v>
      </c>
      <c r="D46" s="28" t="s">
        <v>625</v>
      </c>
      <c r="E46" s="28" t="s">
        <v>626</v>
      </c>
      <c r="F46" s="28" t="s">
        <v>627</v>
      </c>
      <c r="G46" s="198" t="s">
        <v>670</v>
      </c>
      <c r="H46" s="198" t="s">
        <v>670</v>
      </c>
      <c r="I46" s="28" t="s">
        <v>294</v>
      </c>
      <c r="J46" s="28" t="s">
        <v>629</v>
      </c>
      <c r="K46" s="28" t="s">
        <v>294</v>
      </c>
      <c r="L46" s="28">
        <v>10</v>
      </c>
      <c r="M46" s="28">
        <v>10</v>
      </c>
      <c r="N46" s="28">
        <v>0.25</v>
      </c>
      <c r="O46" s="28">
        <v>0.25</v>
      </c>
      <c r="P46" s="28" t="s">
        <v>294</v>
      </c>
      <c r="Q46" s="28" t="s">
        <v>492</v>
      </c>
      <c r="R46" s="28" t="s">
        <v>492</v>
      </c>
      <c r="S46" s="28" t="s">
        <v>492</v>
      </c>
      <c r="T46" s="28" t="s">
        <v>492</v>
      </c>
    </row>
    <row r="47" spans="1:113" x14ac:dyDescent="0.25">
      <c r="A47" s="28">
        <v>23</v>
      </c>
      <c r="B47" s="199" t="s">
        <v>671</v>
      </c>
      <c r="C47" s="199" t="s">
        <v>671</v>
      </c>
      <c r="D47" s="28" t="s">
        <v>625</v>
      </c>
      <c r="E47" s="28" t="s">
        <v>626</v>
      </c>
      <c r="F47" s="28" t="s">
        <v>627</v>
      </c>
      <c r="G47" s="198" t="s">
        <v>672</v>
      </c>
      <c r="H47" s="198" t="s">
        <v>672</v>
      </c>
      <c r="I47" s="28" t="s">
        <v>294</v>
      </c>
      <c r="J47" s="28" t="s">
        <v>629</v>
      </c>
      <c r="K47" s="28" t="s">
        <v>294</v>
      </c>
      <c r="L47" s="28">
        <v>10</v>
      </c>
      <c r="M47" s="28">
        <v>10</v>
      </c>
      <c r="N47" s="28">
        <v>0.4</v>
      </c>
      <c r="O47" s="28">
        <v>0.4</v>
      </c>
      <c r="P47" s="28" t="s">
        <v>294</v>
      </c>
      <c r="Q47" s="28" t="s">
        <v>492</v>
      </c>
      <c r="R47" s="28" t="s">
        <v>492</v>
      </c>
      <c r="S47" s="28" t="s">
        <v>492</v>
      </c>
      <c r="T47" s="28" t="s">
        <v>492</v>
      </c>
    </row>
    <row r="48" spans="1:113" x14ac:dyDescent="0.25">
      <c r="A48" s="28">
        <v>24</v>
      </c>
      <c r="B48" s="199" t="s">
        <v>673</v>
      </c>
      <c r="C48" s="199" t="s">
        <v>673</v>
      </c>
      <c r="D48" s="28" t="s">
        <v>625</v>
      </c>
      <c r="E48" s="28" t="s">
        <v>626</v>
      </c>
      <c r="F48" s="28" t="s">
        <v>627</v>
      </c>
      <c r="G48" s="198" t="s">
        <v>674</v>
      </c>
      <c r="H48" s="198" t="s">
        <v>674</v>
      </c>
      <c r="I48" s="28" t="s">
        <v>294</v>
      </c>
      <c r="J48" s="28" t="s">
        <v>629</v>
      </c>
      <c r="K48" s="28" t="s">
        <v>294</v>
      </c>
      <c r="L48" s="28">
        <v>10</v>
      </c>
      <c r="M48" s="28">
        <v>10</v>
      </c>
      <c r="N48" s="28">
        <v>0.25</v>
      </c>
      <c r="O48" s="28">
        <v>0.25</v>
      </c>
      <c r="P48" s="28" t="s">
        <v>294</v>
      </c>
      <c r="Q48" s="28" t="s">
        <v>492</v>
      </c>
      <c r="R48" s="28" t="s">
        <v>492</v>
      </c>
      <c r="S48" s="28" t="s">
        <v>492</v>
      </c>
      <c r="T48" s="28" t="s">
        <v>492</v>
      </c>
    </row>
    <row r="49" spans="1:20" x14ac:dyDescent="0.25">
      <c r="A49" s="28">
        <v>25</v>
      </c>
      <c r="B49" s="199" t="s">
        <v>675</v>
      </c>
      <c r="C49" s="199" t="s">
        <v>675</v>
      </c>
      <c r="D49" s="28" t="s">
        <v>625</v>
      </c>
      <c r="E49" s="28" t="s">
        <v>626</v>
      </c>
      <c r="F49" s="28" t="s">
        <v>627</v>
      </c>
      <c r="G49" s="198" t="s">
        <v>641</v>
      </c>
      <c r="H49" s="198" t="s">
        <v>641</v>
      </c>
      <c r="I49" s="28" t="s">
        <v>294</v>
      </c>
      <c r="J49" s="28" t="s">
        <v>629</v>
      </c>
      <c r="K49" s="28" t="s">
        <v>294</v>
      </c>
      <c r="L49" s="28">
        <v>10</v>
      </c>
      <c r="M49" s="28">
        <v>10</v>
      </c>
      <c r="N49" s="28">
        <v>0.25</v>
      </c>
      <c r="O49" s="28">
        <v>0.25</v>
      </c>
      <c r="P49" s="28" t="s">
        <v>294</v>
      </c>
      <c r="Q49" s="28" t="s">
        <v>492</v>
      </c>
      <c r="R49" s="28" t="s">
        <v>492</v>
      </c>
      <c r="S49" s="28" t="s">
        <v>492</v>
      </c>
      <c r="T49" s="28" t="s">
        <v>492</v>
      </c>
    </row>
    <row r="50" spans="1:20" x14ac:dyDescent="0.25">
      <c r="A50" s="28">
        <v>26</v>
      </c>
      <c r="B50" s="199" t="s">
        <v>676</v>
      </c>
      <c r="C50" s="199" t="s">
        <v>676</v>
      </c>
      <c r="D50" s="28" t="s">
        <v>625</v>
      </c>
      <c r="E50" s="28" t="s">
        <v>626</v>
      </c>
      <c r="F50" s="28" t="s">
        <v>627</v>
      </c>
      <c r="G50" s="198" t="s">
        <v>677</v>
      </c>
      <c r="H50" s="198" t="s">
        <v>677</v>
      </c>
      <c r="I50" s="28" t="s">
        <v>294</v>
      </c>
      <c r="J50" s="28" t="s">
        <v>629</v>
      </c>
      <c r="K50" s="28" t="s">
        <v>294</v>
      </c>
      <c r="L50" s="28">
        <v>10</v>
      </c>
      <c r="M50" s="28">
        <v>10</v>
      </c>
      <c r="N50" s="28">
        <v>0.25</v>
      </c>
      <c r="O50" s="28">
        <v>0.25</v>
      </c>
      <c r="P50" s="28" t="s">
        <v>294</v>
      </c>
      <c r="Q50" s="28" t="s">
        <v>492</v>
      </c>
      <c r="R50" s="28" t="s">
        <v>492</v>
      </c>
      <c r="S50" s="28" t="s">
        <v>492</v>
      </c>
      <c r="T50" s="28" t="s">
        <v>492</v>
      </c>
    </row>
    <row r="51" spans="1:20" x14ac:dyDescent="0.25">
      <c r="A51" s="28">
        <v>27</v>
      </c>
      <c r="B51" s="199" t="s">
        <v>678</v>
      </c>
      <c r="C51" s="199" t="s">
        <v>678</v>
      </c>
      <c r="D51" s="28" t="s">
        <v>625</v>
      </c>
      <c r="E51" s="28" t="s">
        <v>626</v>
      </c>
      <c r="F51" s="28" t="s">
        <v>627</v>
      </c>
      <c r="G51" s="198" t="s">
        <v>679</v>
      </c>
      <c r="H51" s="198" t="s">
        <v>679</v>
      </c>
      <c r="I51" s="28" t="s">
        <v>294</v>
      </c>
      <c r="J51" s="28" t="s">
        <v>629</v>
      </c>
      <c r="K51" s="28" t="s">
        <v>294</v>
      </c>
      <c r="L51" s="28">
        <v>10</v>
      </c>
      <c r="M51" s="28">
        <v>10</v>
      </c>
      <c r="N51" s="28">
        <v>0.25</v>
      </c>
      <c r="O51" s="28">
        <v>0.25</v>
      </c>
      <c r="P51" s="28" t="s">
        <v>294</v>
      </c>
      <c r="Q51" s="28" t="s">
        <v>492</v>
      </c>
      <c r="R51" s="28" t="s">
        <v>492</v>
      </c>
      <c r="S51" s="28" t="s">
        <v>492</v>
      </c>
      <c r="T51" s="28" t="s">
        <v>492</v>
      </c>
    </row>
    <row r="52" spans="1:20" x14ac:dyDescent="0.25">
      <c r="A52" s="28">
        <v>28</v>
      </c>
      <c r="B52" s="199" t="s">
        <v>680</v>
      </c>
      <c r="C52" s="199" t="s">
        <v>680</v>
      </c>
      <c r="D52" s="28" t="s">
        <v>625</v>
      </c>
      <c r="E52" s="28" t="s">
        <v>626</v>
      </c>
      <c r="F52" s="28" t="s">
        <v>627</v>
      </c>
      <c r="G52" s="198" t="s">
        <v>681</v>
      </c>
      <c r="H52" s="198" t="s">
        <v>681</v>
      </c>
      <c r="I52" s="28" t="s">
        <v>294</v>
      </c>
      <c r="J52" s="28" t="s">
        <v>629</v>
      </c>
      <c r="K52" s="28" t="s">
        <v>294</v>
      </c>
      <c r="L52" s="28">
        <v>10</v>
      </c>
      <c r="M52" s="28">
        <v>10</v>
      </c>
      <c r="N52" s="28">
        <v>0.25</v>
      </c>
      <c r="O52" s="28">
        <v>0.25</v>
      </c>
      <c r="P52" s="28" t="s">
        <v>294</v>
      </c>
      <c r="Q52" s="28" t="s">
        <v>492</v>
      </c>
      <c r="R52" s="28" t="s">
        <v>492</v>
      </c>
      <c r="S52" s="28" t="s">
        <v>492</v>
      </c>
      <c r="T52" s="28" t="s">
        <v>492</v>
      </c>
    </row>
    <row r="53" spans="1:20" x14ac:dyDescent="0.25">
      <c r="A53" s="28">
        <v>29</v>
      </c>
      <c r="B53" s="199" t="s">
        <v>682</v>
      </c>
      <c r="C53" s="199" t="s">
        <v>682</v>
      </c>
      <c r="D53" s="28" t="s">
        <v>625</v>
      </c>
      <c r="E53" s="28" t="s">
        <v>626</v>
      </c>
      <c r="F53" s="28" t="s">
        <v>627</v>
      </c>
      <c r="G53" s="198" t="s">
        <v>683</v>
      </c>
      <c r="H53" s="198" t="s">
        <v>683</v>
      </c>
      <c r="I53" s="28" t="s">
        <v>294</v>
      </c>
      <c r="J53" s="28" t="s">
        <v>629</v>
      </c>
      <c r="K53" s="28" t="s">
        <v>294</v>
      </c>
      <c r="L53" s="28">
        <v>10</v>
      </c>
      <c r="M53" s="28">
        <v>10</v>
      </c>
      <c r="N53" s="28">
        <v>0.16</v>
      </c>
      <c r="O53" s="28">
        <v>0.16</v>
      </c>
      <c r="P53" s="28" t="s">
        <v>294</v>
      </c>
      <c r="Q53" s="28" t="s">
        <v>492</v>
      </c>
      <c r="R53" s="28" t="s">
        <v>492</v>
      </c>
      <c r="S53" s="28" t="s">
        <v>492</v>
      </c>
      <c r="T53" s="28" t="s">
        <v>492</v>
      </c>
    </row>
    <row r="54" spans="1:20" x14ac:dyDescent="0.25">
      <c r="A54" s="28">
        <v>30</v>
      </c>
      <c r="B54" s="199" t="s">
        <v>684</v>
      </c>
      <c r="C54" s="199" t="s">
        <v>684</v>
      </c>
      <c r="D54" s="28" t="s">
        <v>625</v>
      </c>
      <c r="E54" s="28" t="s">
        <v>626</v>
      </c>
      <c r="F54" s="28" t="s">
        <v>627</v>
      </c>
      <c r="G54" s="198" t="s">
        <v>685</v>
      </c>
      <c r="H54" s="198" t="s">
        <v>685</v>
      </c>
      <c r="I54" s="28" t="s">
        <v>294</v>
      </c>
      <c r="J54" s="28" t="s">
        <v>629</v>
      </c>
      <c r="K54" s="28" t="s">
        <v>294</v>
      </c>
      <c r="L54" s="28">
        <v>10</v>
      </c>
      <c r="M54" s="28">
        <v>10</v>
      </c>
      <c r="N54" s="28">
        <v>0.63</v>
      </c>
      <c r="O54" s="28">
        <v>0.63</v>
      </c>
      <c r="P54" s="28" t="s">
        <v>294</v>
      </c>
      <c r="Q54" s="28" t="s">
        <v>492</v>
      </c>
      <c r="R54" s="28" t="s">
        <v>492</v>
      </c>
      <c r="S54" s="28" t="s">
        <v>492</v>
      </c>
      <c r="T54" s="28" t="s">
        <v>492</v>
      </c>
    </row>
    <row r="55" spans="1:20" x14ac:dyDescent="0.25">
      <c r="A55" s="28">
        <v>31</v>
      </c>
      <c r="B55" s="199" t="s">
        <v>686</v>
      </c>
      <c r="C55" s="199" t="s">
        <v>686</v>
      </c>
      <c r="D55" s="28" t="s">
        <v>625</v>
      </c>
      <c r="E55" s="28" t="s">
        <v>626</v>
      </c>
      <c r="F55" s="28" t="s">
        <v>627</v>
      </c>
      <c r="G55" s="198" t="s">
        <v>687</v>
      </c>
      <c r="H55" s="198" t="s">
        <v>687</v>
      </c>
      <c r="I55" s="28" t="s">
        <v>294</v>
      </c>
      <c r="J55" s="28" t="s">
        <v>629</v>
      </c>
      <c r="K55" s="28" t="s">
        <v>294</v>
      </c>
      <c r="L55" s="28">
        <v>10</v>
      </c>
      <c r="M55" s="28">
        <v>10</v>
      </c>
      <c r="N55" s="28">
        <v>6.3E-2</v>
      </c>
      <c r="O55" s="28">
        <v>6.3E-2</v>
      </c>
      <c r="P55" s="28" t="s">
        <v>294</v>
      </c>
      <c r="Q55" s="28" t="s">
        <v>492</v>
      </c>
      <c r="R55" s="28" t="s">
        <v>492</v>
      </c>
      <c r="S55" s="28" t="s">
        <v>492</v>
      </c>
      <c r="T55" s="28" t="s">
        <v>492</v>
      </c>
    </row>
    <row r="56" spans="1:20" x14ac:dyDescent="0.25">
      <c r="A56" s="28">
        <v>32</v>
      </c>
      <c r="B56" s="199" t="s">
        <v>688</v>
      </c>
      <c r="C56" s="199" t="s">
        <v>688</v>
      </c>
      <c r="D56" s="28" t="s">
        <v>625</v>
      </c>
      <c r="E56" s="28" t="s">
        <v>626</v>
      </c>
      <c r="F56" s="28" t="s">
        <v>627</v>
      </c>
      <c r="G56" s="198" t="s">
        <v>689</v>
      </c>
      <c r="H56" s="198" t="s">
        <v>689</v>
      </c>
      <c r="I56" s="28" t="s">
        <v>294</v>
      </c>
      <c r="J56" s="28" t="s">
        <v>629</v>
      </c>
      <c r="K56" s="28" t="s">
        <v>294</v>
      </c>
      <c r="L56" s="28">
        <v>10</v>
      </c>
      <c r="M56" s="28">
        <v>10</v>
      </c>
      <c r="N56" s="28">
        <v>0.25</v>
      </c>
      <c r="O56" s="28">
        <v>0.25</v>
      </c>
      <c r="P56" s="28" t="s">
        <v>294</v>
      </c>
      <c r="Q56" s="28" t="s">
        <v>492</v>
      </c>
      <c r="R56" s="28" t="s">
        <v>492</v>
      </c>
      <c r="S56" s="28" t="s">
        <v>492</v>
      </c>
      <c r="T56" s="28" t="s">
        <v>492</v>
      </c>
    </row>
    <row r="57" spans="1:20" x14ac:dyDescent="0.25">
      <c r="A57" s="28">
        <v>33</v>
      </c>
      <c r="B57" s="199" t="s">
        <v>690</v>
      </c>
      <c r="C57" s="199" t="s">
        <v>690</v>
      </c>
      <c r="D57" s="28" t="s">
        <v>625</v>
      </c>
      <c r="E57" s="28" t="s">
        <v>626</v>
      </c>
      <c r="F57" s="28" t="s">
        <v>627</v>
      </c>
      <c r="G57" s="198" t="s">
        <v>691</v>
      </c>
      <c r="H57" s="198" t="s">
        <v>691</v>
      </c>
      <c r="I57" s="28" t="s">
        <v>294</v>
      </c>
      <c r="J57" s="28" t="s">
        <v>629</v>
      </c>
      <c r="K57" s="28" t="s">
        <v>294</v>
      </c>
      <c r="L57" s="28">
        <v>10</v>
      </c>
      <c r="M57" s="28">
        <v>10</v>
      </c>
      <c r="N57" s="28">
        <v>0.4</v>
      </c>
      <c r="O57" s="28">
        <v>0.4</v>
      </c>
      <c r="P57" s="28" t="s">
        <v>294</v>
      </c>
      <c r="Q57" s="28" t="s">
        <v>492</v>
      </c>
      <c r="R57" s="28" t="s">
        <v>492</v>
      </c>
      <c r="S57" s="28" t="s">
        <v>492</v>
      </c>
      <c r="T57" s="28" t="s">
        <v>492</v>
      </c>
    </row>
    <row r="58" spans="1:20" x14ac:dyDescent="0.25">
      <c r="A58" s="28">
        <v>34</v>
      </c>
      <c r="B58" s="199" t="s">
        <v>692</v>
      </c>
      <c r="C58" s="199" t="s">
        <v>692</v>
      </c>
      <c r="D58" s="28" t="s">
        <v>625</v>
      </c>
      <c r="E58" s="28" t="s">
        <v>626</v>
      </c>
      <c r="F58" s="28" t="s">
        <v>627</v>
      </c>
      <c r="G58" s="198" t="s">
        <v>693</v>
      </c>
      <c r="H58" s="198" t="s">
        <v>693</v>
      </c>
      <c r="I58" s="28" t="s">
        <v>294</v>
      </c>
      <c r="J58" s="28" t="s">
        <v>629</v>
      </c>
      <c r="K58" s="28" t="s">
        <v>294</v>
      </c>
      <c r="L58" s="28">
        <v>10</v>
      </c>
      <c r="M58" s="28">
        <v>10</v>
      </c>
      <c r="N58" s="28">
        <v>0.25</v>
      </c>
      <c r="O58" s="28">
        <v>0.25</v>
      </c>
      <c r="P58" s="28" t="s">
        <v>294</v>
      </c>
      <c r="Q58" s="28" t="s">
        <v>492</v>
      </c>
      <c r="R58" s="28" t="s">
        <v>492</v>
      </c>
      <c r="S58" s="28" t="s">
        <v>492</v>
      </c>
      <c r="T58" s="28" t="s">
        <v>492</v>
      </c>
    </row>
    <row r="59" spans="1:20" x14ac:dyDescent="0.25">
      <c r="A59" s="28">
        <v>35</v>
      </c>
      <c r="B59" s="199" t="s">
        <v>694</v>
      </c>
      <c r="C59" s="199" t="s">
        <v>694</v>
      </c>
      <c r="D59" s="28" t="s">
        <v>625</v>
      </c>
      <c r="E59" s="28" t="s">
        <v>626</v>
      </c>
      <c r="F59" s="28" t="s">
        <v>627</v>
      </c>
      <c r="G59" s="198" t="s">
        <v>647</v>
      </c>
      <c r="H59" s="198" t="s">
        <v>647</v>
      </c>
      <c r="I59" s="28" t="s">
        <v>294</v>
      </c>
      <c r="J59" s="28" t="s">
        <v>629</v>
      </c>
      <c r="K59" s="28" t="s">
        <v>294</v>
      </c>
      <c r="L59" s="28">
        <v>10</v>
      </c>
      <c r="M59" s="28">
        <v>10</v>
      </c>
      <c r="N59" s="28">
        <v>0.16</v>
      </c>
      <c r="O59" s="28">
        <v>0.16</v>
      </c>
      <c r="P59" s="28" t="s">
        <v>294</v>
      </c>
      <c r="Q59" s="28" t="s">
        <v>492</v>
      </c>
      <c r="R59" s="28" t="s">
        <v>492</v>
      </c>
      <c r="S59" s="28" t="s">
        <v>492</v>
      </c>
      <c r="T59" s="28" t="s">
        <v>492</v>
      </c>
    </row>
    <row r="60" spans="1:20" x14ac:dyDescent="0.25">
      <c r="A60" s="28">
        <v>36</v>
      </c>
      <c r="B60" s="199" t="s">
        <v>695</v>
      </c>
      <c r="C60" s="199" t="s">
        <v>695</v>
      </c>
      <c r="D60" s="28" t="s">
        <v>625</v>
      </c>
      <c r="E60" s="28" t="s">
        <v>626</v>
      </c>
      <c r="F60" s="28" t="s">
        <v>627</v>
      </c>
      <c r="G60" s="198" t="s">
        <v>696</v>
      </c>
      <c r="H60" s="198" t="s">
        <v>696</v>
      </c>
      <c r="I60" s="28" t="s">
        <v>294</v>
      </c>
      <c r="J60" s="28" t="s">
        <v>629</v>
      </c>
      <c r="K60" s="28" t="s">
        <v>294</v>
      </c>
      <c r="L60" s="28">
        <v>10</v>
      </c>
      <c r="M60" s="28">
        <v>10</v>
      </c>
      <c r="N60" s="28">
        <v>0.16</v>
      </c>
      <c r="O60" s="28">
        <v>0.16</v>
      </c>
      <c r="P60" s="28" t="s">
        <v>294</v>
      </c>
      <c r="Q60" s="28" t="s">
        <v>492</v>
      </c>
      <c r="R60" s="28" t="s">
        <v>492</v>
      </c>
      <c r="S60" s="28" t="s">
        <v>492</v>
      </c>
      <c r="T60" s="28" t="s">
        <v>492</v>
      </c>
    </row>
    <row r="61" spans="1:20" x14ac:dyDescent="0.25">
      <c r="A61" s="28">
        <v>37</v>
      </c>
      <c r="B61" s="199" t="s">
        <v>697</v>
      </c>
      <c r="C61" s="199" t="s">
        <v>697</v>
      </c>
      <c r="D61" s="28" t="s">
        <v>625</v>
      </c>
      <c r="E61" s="28" t="s">
        <v>626</v>
      </c>
      <c r="F61" s="28" t="s">
        <v>627</v>
      </c>
      <c r="G61" s="198" t="s">
        <v>698</v>
      </c>
      <c r="H61" s="198" t="s">
        <v>698</v>
      </c>
      <c r="I61" s="28" t="s">
        <v>294</v>
      </c>
      <c r="J61" s="28" t="s">
        <v>629</v>
      </c>
      <c r="K61" s="28" t="s">
        <v>294</v>
      </c>
      <c r="L61" s="28">
        <v>10</v>
      </c>
      <c r="M61" s="28">
        <v>10</v>
      </c>
      <c r="N61" s="28">
        <v>0.16</v>
      </c>
      <c r="O61" s="28">
        <v>0.16</v>
      </c>
      <c r="P61" s="28" t="s">
        <v>294</v>
      </c>
      <c r="Q61" s="28" t="s">
        <v>492</v>
      </c>
      <c r="R61" s="28" t="s">
        <v>492</v>
      </c>
      <c r="S61" s="28" t="s">
        <v>492</v>
      </c>
      <c r="T61" s="28" t="s">
        <v>492</v>
      </c>
    </row>
    <row r="62" spans="1:20" x14ac:dyDescent="0.25">
      <c r="A62" s="28">
        <v>38</v>
      </c>
      <c r="B62" s="199" t="s">
        <v>699</v>
      </c>
      <c r="C62" s="199" t="s">
        <v>699</v>
      </c>
      <c r="D62" s="28" t="s">
        <v>625</v>
      </c>
      <c r="E62" s="28" t="s">
        <v>626</v>
      </c>
      <c r="F62" s="28" t="s">
        <v>627</v>
      </c>
      <c r="G62" s="198" t="s">
        <v>633</v>
      </c>
      <c r="H62" s="198" t="s">
        <v>633</v>
      </c>
      <c r="I62" s="28" t="s">
        <v>294</v>
      </c>
      <c r="J62" s="28" t="s">
        <v>629</v>
      </c>
      <c r="K62" s="28" t="s">
        <v>294</v>
      </c>
      <c r="L62" s="28">
        <v>10</v>
      </c>
      <c r="M62" s="28">
        <v>10</v>
      </c>
      <c r="N62" s="28">
        <v>0.25</v>
      </c>
      <c r="O62" s="28">
        <v>0.25</v>
      </c>
      <c r="P62" s="28" t="s">
        <v>294</v>
      </c>
      <c r="Q62" s="28" t="s">
        <v>492</v>
      </c>
      <c r="R62" s="28" t="s">
        <v>492</v>
      </c>
      <c r="S62" s="28" t="s">
        <v>492</v>
      </c>
      <c r="T62" s="28" t="s">
        <v>492</v>
      </c>
    </row>
    <row r="63" spans="1:20" x14ac:dyDescent="0.25">
      <c r="A63" s="28">
        <v>39</v>
      </c>
      <c r="B63" s="199" t="s">
        <v>700</v>
      </c>
      <c r="C63" s="199" t="s">
        <v>700</v>
      </c>
      <c r="D63" s="28" t="s">
        <v>625</v>
      </c>
      <c r="E63" s="28" t="s">
        <v>626</v>
      </c>
      <c r="F63" s="28" t="s">
        <v>627</v>
      </c>
      <c r="G63" s="198" t="s">
        <v>701</v>
      </c>
      <c r="H63" s="198" t="s">
        <v>701</v>
      </c>
      <c r="I63" s="28" t="s">
        <v>294</v>
      </c>
      <c r="J63" s="28" t="s">
        <v>629</v>
      </c>
      <c r="K63" s="28" t="s">
        <v>294</v>
      </c>
      <c r="L63" s="28">
        <v>10</v>
      </c>
      <c r="M63" s="28">
        <v>10</v>
      </c>
      <c r="N63" s="28">
        <v>0.25</v>
      </c>
      <c r="O63" s="28">
        <v>0.25</v>
      </c>
      <c r="P63" s="28" t="s">
        <v>294</v>
      </c>
      <c r="Q63" s="28" t="s">
        <v>492</v>
      </c>
      <c r="R63" s="28" t="s">
        <v>492</v>
      </c>
      <c r="S63" s="28" t="s">
        <v>492</v>
      </c>
      <c r="T63" s="28" t="s">
        <v>492</v>
      </c>
    </row>
    <row r="64" spans="1:20" x14ac:dyDescent="0.25">
      <c r="A64" s="28">
        <v>40</v>
      </c>
      <c r="B64" s="199" t="s">
        <v>702</v>
      </c>
      <c r="C64" s="199" t="s">
        <v>702</v>
      </c>
      <c r="D64" s="28" t="s">
        <v>625</v>
      </c>
      <c r="E64" s="28" t="s">
        <v>626</v>
      </c>
      <c r="F64" s="28" t="s">
        <v>627</v>
      </c>
      <c r="G64" s="198" t="s">
        <v>703</v>
      </c>
      <c r="H64" s="198" t="s">
        <v>703</v>
      </c>
      <c r="I64" s="28" t="s">
        <v>294</v>
      </c>
      <c r="J64" s="28" t="s">
        <v>629</v>
      </c>
      <c r="K64" s="28" t="s">
        <v>294</v>
      </c>
      <c r="L64" s="28">
        <v>10</v>
      </c>
      <c r="M64" s="28">
        <v>10</v>
      </c>
      <c r="N64" s="28">
        <v>0.4</v>
      </c>
      <c r="O64" s="28">
        <v>0.4</v>
      </c>
      <c r="P64" s="28" t="s">
        <v>294</v>
      </c>
      <c r="Q64" s="28" t="s">
        <v>492</v>
      </c>
      <c r="R64" s="28" t="s">
        <v>492</v>
      </c>
      <c r="S64" s="28" t="s">
        <v>492</v>
      </c>
      <c r="T64" s="28" t="s">
        <v>492</v>
      </c>
    </row>
    <row r="65" spans="1:20" x14ac:dyDescent="0.25">
      <c r="A65" s="28">
        <v>41</v>
      </c>
      <c r="B65" s="29" t="s">
        <v>294</v>
      </c>
      <c r="C65" s="199" t="s">
        <v>704</v>
      </c>
      <c r="D65" s="28" t="s">
        <v>625</v>
      </c>
      <c r="E65" s="28" t="s">
        <v>294</v>
      </c>
      <c r="F65" s="28" t="s">
        <v>627</v>
      </c>
      <c r="G65" s="198" t="s">
        <v>294</v>
      </c>
      <c r="H65" s="198" t="s">
        <v>705</v>
      </c>
      <c r="I65" s="28" t="s">
        <v>294</v>
      </c>
      <c r="J65" s="28" t="s">
        <v>629</v>
      </c>
      <c r="K65" s="28" t="s">
        <v>294</v>
      </c>
      <c r="L65" s="28" t="s">
        <v>294</v>
      </c>
      <c r="M65" s="28">
        <v>10</v>
      </c>
      <c r="N65" s="28" t="s">
        <v>294</v>
      </c>
      <c r="O65" s="28">
        <v>0.16</v>
      </c>
      <c r="P65" s="28" t="s">
        <v>294</v>
      </c>
      <c r="Q65" s="28" t="s">
        <v>492</v>
      </c>
      <c r="R65" s="28" t="s">
        <v>492</v>
      </c>
      <c r="S65" s="28" t="s">
        <v>492</v>
      </c>
      <c r="T65" s="28" t="s">
        <v>492</v>
      </c>
    </row>
    <row r="66" spans="1:20" x14ac:dyDescent="0.25">
      <c r="A66" s="28">
        <v>42</v>
      </c>
      <c r="B66" s="29" t="s">
        <v>294</v>
      </c>
      <c r="C66" s="199" t="s">
        <v>706</v>
      </c>
      <c r="D66" s="28" t="s">
        <v>625</v>
      </c>
      <c r="E66" s="28" t="s">
        <v>294</v>
      </c>
      <c r="F66" s="28" t="s">
        <v>627</v>
      </c>
      <c r="G66" s="198" t="s">
        <v>294</v>
      </c>
      <c r="H66" s="198" t="s">
        <v>707</v>
      </c>
      <c r="I66" s="28" t="s">
        <v>294</v>
      </c>
      <c r="J66" s="28" t="s">
        <v>629</v>
      </c>
      <c r="K66" s="28" t="s">
        <v>294</v>
      </c>
      <c r="L66" s="28" t="s">
        <v>294</v>
      </c>
      <c r="M66" s="28">
        <v>10</v>
      </c>
      <c r="N66" s="28" t="s">
        <v>294</v>
      </c>
      <c r="O66" s="28">
        <v>0.16</v>
      </c>
      <c r="P66" s="28" t="s">
        <v>294</v>
      </c>
      <c r="Q66" s="28" t="s">
        <v>492</v>
      </c>
      <c r="R66" s="28" t="s">
        <v>492</v>
      </c>
      <c r="S66" s="28" t="s">
        <v>492</v>
      </c>
      <c r="T66" s="28" t="s">
        <v>492</v>
      </c>
    </row>
    <row r="67" spans="1:20" x14ac:dyDescent="0.25">
      <c r="A67" s="28">
        <v>43</v>
      </c>
      <c r="B67" s="29" t="s">
        <v>294</v>
      </c>
      <c r="C67" s="199" t="s">
        <v>708</v>
      </c>
      <c r="D67" s="28" t="s">
        <v>625</v>
      </c>
      <c r="E67" s="28" t="s">
        <v>294</v>
      </c>
      <c r="F67" s="28" t="s">
        <v>627</v>
      </c>
      <c r="G67" s="198" t="s">
        <v>294</v>
      </c>
      <c r="H67" s="198" t="s">
        <v>709</v>
      </c>
      <c r="I67" s="28" t="s">
        <v>294</v>
      </c>
      <c r="J67" s="28" t="s">
        <v>629</v>
      </c>
      <c r="K67" s="28" t="s">
        <v>294</v>
      </c>
      <c r="L67" s="28" t="s">
        <v>294</v>
      </c>
      <c r="M67" s="28">
        <v>10</v>
      </c>
      <c r="N67" s="28" t="s">
        <v>294</v>
      </c>
      <c r="O67" s="28">
        <v>0.16</v>
      </c>
      <c r="P67" s="28" t="s">
        <v>294</v>
      </c>
      <c r="Q67" s="28" t="s">
        <v>492</v>
      </c>
      <c r="R67" s="28" t="s">
        <v>492</v>
      </c>
      <c r="S67" s="28" t="s">
        <v>492</v>
      </c>
      <c r="T67" s="28" t="s">
        <v>492</v>
      </c>
    </row>
    <row r="68" spans="1:20" x14ac:dyDescent="0.25">
      <c r="A68" s="28">
        <v>44</v>
      </c>
      <c r="B68" s="29" t="s">
        <v>294</v>
      </c>
      <c r="C68" s="199" t="s">
        <v>710</v>
      </c>
      <c r="D68" s="28" t="s">
        <v>625</v>
      </c>
      <c r="E68" s="28" t="s">
        <v>294</v>
      </c>
      <c r="F68" s="28" t="s">
        <v>627</v>
      </c>
      <c r="G68" s="198" t="s">
        <v>294</v>
      </c>
      <c r="H68" s="198" t="s">
        <v>711</v>
      </c>
      <c r="I68" s="28" t="s">
        <v>294</v>
      </c>
      <c r="J68" s="28" t="s">
        <v>629</v>
      </c>
      <c r="K68" s="28" t="s">
        <v>294</v>
      </c>
      <c r="L68" s="28" t="s">
        <v>294</v>
      </c>
      <c r="M68" s="28">
        <v>10</v>
      </c>
      <c r="N68" s="28" t="s">
        <v>294</v>
      </c>
      <c r="O68" s="28">
        <v>0.16</v>
      </c>
      <c r="P68" s="28" t="s">
        <v>294</v>
      </c>
      <c r="Q68" s="28" t="s">
        <v>492</v>
      </c>
      <c r="R68" s="28" t="s">
        <v>492</v>
      </c>
      <c r="S68" s="28" t="s">
        <v>492</v>
      </c>
      <c r="T68" s="28" t="s">
        <v>492</v>
      </c>
    </row>
    <row r="69" spans="1:20" x14ac:dyDescent="0.25">
      <c r="A69" s="28">
        <v>45</v>
      </c>
      <c r="B69" s="29" t="s">
        <v>294</v>
      </c>
      <c r="C69" s="199" t="s">
        <v>712</v>
      </c>
      <c r="D69" s="28" t="s">
        <v>625</v>
      </c>
      <c r="E69" s="28" t="s">
        <v>294</v>
      </c>
      <c r="F69" s="28" t="s">
        <v>627</v>
      </c>
      <c r="G69" s="198" t="s">
        <v>294</v>
      </c>
      <c r="H69" s="198" t="s">
        <v>713</v>
      </c>
      <c r="I69" s="28" t="s">
        <v>294</v>
      </c>
      <c r="J69" s="28" t="s">
        <v>629</v>
      </c>
      <c r="K69" s="28" t="s">
        <v>294</v>
      </c>
      <c r="L69" s="28" t="s">
        <v>294</v>
      </c>
      <c r="M69" s="28">
        <v>10</v>
      </c>
      <c r="N69" s="28" t="s">
        <v>294</v>
      </c>
      <c r="O69" s="28">
        <v>0.16</v>
      </c>
      <c r="P69" s="28" t="s">
        <v>294</v>
      </c>
      <c r="Q69" s="28" t="s">
        <v>492</v>
      </c>
      <c r="R69" s="28" t="s">
        <v>492</v>
      </c>
      <c r="S69" s="28" t="s">
        <v>492</v>
      </c>
      <c r="T69" s="28" t="s">
        <v>492</v>
      </c>
    </row>
    <row r="70" spans="1:20" x14ac:dyDescent="0.25">
      <c r="A70" s="28">
        <v>46</v>
      </c>
      <c r="B70" s="29" t="s">
        <v>294</v>
      </c>
      <c r="C70" s="199" t="s">
        <v>714</v>
      </c>
      <c r="D70" s="28" t="s">
        <v>625</v>
      </c>
      <c r="E70" s="28" t="s">
        <v>294</v>
      </c>
      <c r="F70" s="28" t="s">
        <v>627</v>
      </c>
      <c r="G70" s="198" t="s">
        <v>294</v>
      </c>
      <c r="H70" s="198" t="s">
        <v>715</v>
      </c>
      <c r="I70" s="28" t="s">
        <v>294</v>
      </c>
      <c r="J70" s="28" t="s">
        <v>629</v>
      </c>
      <c r="K70" s="28" t="s">
        <v>294</v>
      </c>
      <c r="L70" s="28" t="s">
        <v>294</v>
      </c>
      <c r="M70" s="28">
        <v>10</v>
      </c>
      <c r="N70" s="28" t="s">
        <v>294</v>
      </c>
      <c r="O70" s="28">
        <v>0.16</v>
      </c>
      <c r="P70" s="28" t="s">
        <v>294</v>
      </c>
      <c r="Q70" s="28" t="s">
        <v>492</v>
      </c>
      <c r="R70" s="28" t="s">
        <v>492</v>
      </c>
      <c r="S70" s="28" t="s">
        <v>492</v>
      </c>
      <c r="T70" s="28" t="s">
        <v>492</v>
      </c>
    </row>
    <row r="71" spans="1:20" x14ac:dyDescent="0.25">
      <c r="A71" s="28">
        <v>47</v>
      </c>
      <c r="B71" s="29" t="s">
        <v>294</v>
      </c>
      <c r="C71" s="199" t="s">
        <v>716</v>
      </c>
      <c r="D71" s="28" t="s">
        <v>625</v>
      </c>
      <c r="E71" s="28" t="s">
        <v>294</v>
      </c>
      <c r="F71" s="28" t="s">
        <v>627</v>
      </c>
      <c r="G71" s="198" t="s">
        <v>294</v>
      </c>
      <c r="H71" s="198" t="s">
        <v>717</v>
      </c>
      <c r="I71" s="28" t="s">
        <v>294</v>
      </c>
      <c r="J71" s="28" t="s">
        <v>629</v>
      </c>
      <c r="K71" s="28" t="s">
        <v>294</v>
      </c>
      <c r="L71" s="28" t="s">
        <v>294</v>
      </c>
      <c r="M71" s="28">
        <v>10</v>
      </c>
      <c r="N71" s="28" t="s">
        <v>294</v>
      </c>
      <c r="O71" s="28">
        <v>0.16</v>
      </c>
      <c r="P71" s="28" t="s">
        <v>294</v>
      </c>
      <c r="Q71" s="28" t="s">
        <v>492</v>
      </c>
      <c r="R71" s="28" t="s">
        <v>492</v>
      </c>
      <c r="S71" s="28" t="s">
        <v>492</v>
      </c>
      <c r="T71" s="28" t="s">
        <v>492</v>
      </c>
    </row>
    <row r="72" spans="1:20" x14ac:dyDescent="0.25">
      <c r="A72" s="28">
        <v>48</v>
      </c>
      <c r="B72" s="29" t="s">
        <v>294</v>
      </c>
      <c r="C72" s="199" t="s">
        <v>718</v>
      </c>
      <c r="D72" s="28" t="s">
        <v>625</v>
      </c>
      <c r="E72" s="28" t="s">
        <v>294</v>
      </c>
      <c r="F72" s="28" t="s">
        <v>627</v>
      </c>
      <c r="G72" s="198" t="s">
        <v>294</v>
      </c>
      <c r="H72" s="198" t="s">
        <v>719</v>
      </c>
      <c r="I72" s="28" t="s">
        <v>294</v>
      </c>
      <c r="J72" s="28" t="s">
        <v>629</v>
      </c>
      <c r="K72" s="28" t="s">
        <v>294</v>
      </c>
      <c r="L72" s="28" t="s">
        <v>294</v>
      </c>
      <c r="M72" s="28">
        <v>10</v>
      </c>
      <c r="N72" s="28" t="s">
        <v>294</v>
      </c>
      <c r="O72" s="28">
        <v>0.16</v>
      </c>
      <c r="P72" s="28" t="s">
        <v>294</v>
      </c>
      <c r="Q72" s="28" t="s">
        <v>492</v>
      </c>
      <c r="R72" s="28" t="s">
        <v>492</v>
      </c>
      <c r="S72" s="28" t="s">
        <v>492</v>
      </c>
      <c r="T72" s="28" t="s">
        <v>492</v>
      </c>
    </row>
    <row r="73" spans="1:20" x14ac:dyDescent="0.25">
      <c r="A73" s="28">
        <v>49</v>
      </c>
      <c r="B73" s="29" t="s">
        <v>294</v>
      </c>
      <c r="C73" s="199" t="s">
        <v>720</v>
      </c>
      <c r="D73" s="28" t="s">
        <v>625</v>
      </c>
      <c r="E73" s="28" t="s">
        <v>294</v>
      </c>
      <c r="F73" s="28" t="s">
        <v>627</v>
      </c>
      <c r="G73" s="198" t="s">
        <v>294</v>
      </c>
      <c r="H73" s="198" t="s">
        <v>721</v>
      </c>
      <c r="I73" s="28" t="s">
        <v>294</v>
      </c>
      <c r="J73" s="28" t="s">
        <v>629</v>
      </c>
      <c r="K73" s="28" t="s">
        <v>294</v>
      </c>
      <c r="L73" s="28" t="s">
        <v>294</v>
      </c>
      <c r="M73" s="28">
        <v>10</v>
      </c>
      <c r="N73" s="28" t="s">
        <v>294</v>
      </c>
      <c r="O73" s="28">
        <v>0.16</v>
      </c>
      <c r="P73" s="28" t="s">
        <v>294</v>
      </c>
      <c r="Q73" s="28" t="s">
        <v>492</v>
      </c>
      <c r="R73" s="28" t="s">
        <v>492</v>
      </c>
      <c r="S73" s="28" t="s">
        <v>492</v>
      </c>
      <c r="T73" s="28" t="s">
        <v>492</v>
      </c>
    </row>
    <row r="74" spans="1:20" x14ac:dyDescent="0.25">
      <c r="A74" s="28">
        <v>50</v>
      </c>
      <c r="B74" s="29" t="s">
        <v>294</v>
      </c>
      <c r="C74" s="199" t="s">
        <v>722</v>
      </c>
      <c r="D74" s="28" t="s">
        <v>625</v>
      </c>
      <c r="E74" s="28" t="s">
        <v>294</v>
      </c>
      <c r="F74" s="28" t="s">
        <v>627</v>
      </c>
      <c r="G74" s="198" t="s">
        <v>294</v>
      </c>
      <c r="H74" s="198" t="s">
        <v>723</v>
      </c>
      <c r="I74" s="28" t="s">
        <v>294</v>
      </c>
      <c r="J74" s="28" t="s">
        <v>629</v>
      </c>
      <c r="K74" s="28" t="s">
        <v>294</v>
      </c>
      <c r="L74" s="28" t="s">
        <v>294</v>
      </c>
      <c r="M74" s="28">
        <v>10</v>
      </c>
      <c r="N74" s="28" t="s">
        <v>294</v>
      </c>
      <c r="O74" s="28">
        <v>0.16</v>
      </c>
      <c r="P74" s="28" t="s">
        <v>294</v>
      </c>
      <c r="Q74" s="28" t="s">
        <v>492</v>
      </c>
      <c r="R74" s="28" t="s">
        <v>492</v>
      </c>
      <c r="S74" s="28" t="s">
        <v>492</v>
      </c>
      <c r="T74" s="28" t="s">
        <v>492</v>
      </c>
    </row>
    <row r="75" spans="1:20" x14ac:dyDescent="0.25">
      <c r="A75" s="28">
        <v>51</v>
      </c>
      <c r="B75" s="29" t="s">
        <v>294</v>
      </c>
      <c r="C75" s="199" t="s">
        <v>724</v>
      </c>
      <c r="D75" s="28" t="s">
        <v>625</v>
      </c>
      <c r="E75" s="28" t="s">
        <v>294</v>
      </c>
      <c r="F75" s="28" t="s">
        <v>627</v>
      </c>
      <c r="G75" s="198" t="s">
        <v>294</v>
      </c>
      <c r="H75" s="198" t="s">
        <v>725</v>
      </c>
      <c r="I75" s="28" t="s">
        <v>294</v>
      </c>
      <c r="J75" s="28" t="s">
        <v>629</v>
      </c>
      <c r="K75" s="28" t="s">
        <v>294</v>
      </c>
      <c r="L75" s="28" t="s">
        <v>294</v>
      </c>
      <c r="M75" s="28">
        <v>10</v>
      </c>
      <c r="N75" s="28" t="s">
        <v>294</v>
      </c>
      <c r="O75" s="28">
        <v>0.16</v>
      </c>
      <c r="P75" s="28" t="s">
        <v>294</v>
      </c>
      <c r="Q75" s="28" t="s">
        <v>492</v>
      </c>
      <c r="R75" s="28" t="s">
        <v>492</v>
      </c>
      <c r="S75" s="28" t="s">
        <v>492</v>
      </c>
      <c r="T75" s="28" t="s">
        <v>492</v>
      </c>
    </row>
    <row r="76" spans="1:20" x14ac:dyDescent="0.25">
      <c r="A76" s="28">
        <v>52</v>
      </c>
      <c r="B76" s="29" t="s">
        <v>294</v>
      </c>
      <c r="C76" s="199" t="s">
        <v>726</v>
      </c>
      <c r="D76" s="28" t="s">
        <v>625</v>
      </c>
      <c r="E76" s="28" t="s">
        <v>294</v>
      </c>
      <c r="F76" s="28" t="s">
        <v>627</v>
      </c>
      <c r="G76" s="198" t="s">
        <v>294</v>
      </c>
      <c r="H76" s="198" t="s">
        <v>727</v>
      </c>
      <c r="I76" s="28" t="s">
        <v>294</v>
      </c>
      <c r="J76" s="28" t="s">
        <v>629</v>
      </c>
      <c r="K76" s="28" t="s">
        <v>294</v>
      </c>
      <c r="L76" s="28" t="s">
        <v>294</v>
      </c>
      <c r="M76" s="28">
        <v>10</v>
      </c>
      <c r="N76" s="28" t="s">
        <v>294</v>
      </c>
      <c r="O76" s="28">
        <v>0.16</v>
      </c>
      <c r="P76" s="28" t="s">
        <v>294</v>
      </c>
      <c r="Q76" s="28" t="s">
        <v>492</v>
      </c>
      <c r="R76" s="28" t="s">
        <v>492</v>
      </c>
      <c r="S76" s="28" t="s">
        <v>492</v>
      </c>
      <c r="T76" s="28" t="s">
        <v>492</v>
      </c>
    </row>
    <row r="77" spans="1:20" x14ac:dyDescent="0.25">
      <c r="A77" s="28">
        <v>53</v>
      </c>
      <c r="B77" s="29" t="s">
        <v>294</v>
      </c>
      <c r="C77" s="199" t="s">
        <v>728</v>
      </c>
      <c r="D77" s="28" t="s">
        <v>625</v>
      </c>
      <c r="E77" s="28" t="s">
        <v>294</v>
      </c>
      <c r="F77" s="28" t="s">
        <v>627</v>
      </c>
      <c r="G77" s="198" t="s">
        <v>294</v>
      </c>
      <c r="H77" s="198" t="s">
        <v>729</v>
      </c>
      <c r="I77" s="28" t="s">
        <v>294</v>
      </c>
      <c r="J77" s="28" t="s">
        <v>629</v>
      </c>
      <c r="K77" s="28" t="s">
        <v>294</v>
      </c>
      <c r="L77" s="28" t="s">
        <v>294</v>
      </c>
      <c r="M77" s="28">
        <v>10</v>
      </c>
      <c r="N77" s="28" t="s">
        <v>294</v>
      </c>
      <c r="O77" s="28">
        <v>0.16</v>
      </c>
      <c r="P77" s="28" t="s">
        <v>294</v>
      </c>
      <c r="Q77" s="28" t="s">
        <v>492</v>
      </c>
      <c r="R77" s="28" t="s">
        <v>492</v>
      </c>
      <c r="S77" s="28" t="s">
        <v>492</v>
      </c>
      <c r="T77" s="28" t="s">
        <v>492</v>
      </c>
    </row>
    <row r="78" spans="1:20" ht="6" customHeight="1" x14ac:dyDescent="0.25">
      <c r="A78" s="28">
        <v>54</v>
      </c>
      <c r="C78" s="199" t="s">
        <v>730</v>
      </c>
      <c r="J78" s="24" t="s">
        <v>629</v>
      </c>
      <c r="O78" s="24">
        <v>0.16</v>
      </c>
    </row>
    <row r="79" spans="1:20" x14ac:dyDescent="0.25">
      <c r="A79" s="28">
        <v>55</v>
      </c>
      <c r="B79" s="29" t="s">
        <v>294</v>
      </c>
      <c r="C79" s="199" t="s">
        <v>731</v>
      </c>
      <c r="D79" s="28" t="s">
        <v>625</v>
      </c>
      <c r="E79" s="28" t="s">
        <v>294</v>
      </c>
      <c r="F79" s="28" t="s">
        <v>627</v>
      </c>
      <c r="G79" s="198" t="s">
        <v>294</v>
      </c>
      <c r="H79" s="198" t="s">
        <v>732</v>
      </c>
      <c r="I79" s="28" t="s">
        <v>294</v>
      </c>
      <c r="J79" s="28" t="s">
        <v>629</v>
      </c>
      <c r="K79" s="28" t="s">
        <v>294</v>
      </c>
      <c r="L79" s="28" t="s">
        <v>294</v>
      </c>
      <c r="M79" s="28">
        <v>10</v>
      </c>
      <c r="N79" s="28" t="s">
        <v>294</v>
      </c>
      <c r="O79" s="28">
        <v>0.16</v>
      </c>
      <c r="P79" s="28" t="s">
        <v>294</v>
      </c>
      <c r="Q79" s="28" t="s">
        <v>492</v>
      </c>
      <c r="R79" s="28" t="s">
        <v>492</v>
      </c>
      <c r="S79" s="28" t="s">
        <v>492</v>
      </c>
      <c r="T79" s="28" t="s">
        <v>492</v>
      </c>
    </row>
    <row r="80" spans="1:20" x14ac:dyDescent="0.25">
      <c r="A80" s="28">
        <v>56</v>
      </c>
      <c r="B80" s="29" t="s">
        <v>294</v>
      </c>
      <c r="C80" s="199" t="s">
        <v>733</v>
      </c>
      <c r="D80" s="28" t="s">
        <v>625</v>
      </c>
      <c r="E80" s="28" t="s">
        <v>294</v>
      </c>
      <c r="F80" s="28" t="s">
        <v>627</v>
      </c>
      <c r="G80" s="198" t="s">
        <v>294</v>
      </c>
      <c r="H80" s="198" t="s">
        <v>734</v>
      </c>
      <c r="I80" s="28" t="s">
        <v>294</v>
      </c>
      <c r="J80" s="28" t="s">
        <v>629</v>
      </c>
      <c r="K80" s="28" t="s">
        <v>294</v>
      </c>
      <c r="L80" s="28" t="s">
        <v>294</v>
      </c>
      <c r="M80" s="28">
        <v>10</v>
      </c>
      <c r="N80" s="28" t="s">
        <v>294</v>
      </c>
      <c r="O80" s="28">
        <v>0.16</v>
      </c>
      <c r="P80" s="28" t="s">
        <v>294</v>
      </c>
      <c r="Q80" s="28" t="s">
        <v>492</v>
      </c>
      <c r="R80" s="28" t="s">
        <v>492</v>
      </c>
      <c r="S80" s="28" t="s">
        <v>492</v>
      </c>
      <c r="T80" s="28" t="s">
        <v>492</v>
      </c>
    </row>
    <row r="81" spans="1:20" x14ac:dyDescent="0.25">
      <c r="A81" s="28">
        <v>57</v>
      </c>
      <c r="B81" s="29" t="s">
        <v>294</v>
      </c>
      <c r="C81" s="199" t="s">
        <v>735</v>
      </c>
      <c r="D81" s="28" t="s">
        <v>625</v>
      </c>
      <c r="E81" s="28" t="s">
        <v>294</v>
      </c>
      <c r="F81" s="28" t="s">
        <v>627</v>
      </c>
      <c r="G81" s="198" t="s">
        <v>294</v>
      </c>
      <c r="H81" s="198" t="s">
        <v>736</v>
      </c>
      <c r="I81" s="28" t="s">
        <v>294</v>
      </c>
      <c r="J81" s="28" t="s">
        <v>629</v>
      </c>
      <c r="K81" s="28" t="s">
        <v>294</v>
      </c>
      <c r="L81" s="28" t="s">
        <v>294</v>
      </c>
      <c r="M81" s="28">
        <v>10</v>
      </c>
      <c r="N81" s="28" t="s">
        <v>294</v>
      </c>
      <c r="O81" s="28">
        <v>0.16</v>
      </c>
      <c r="P81" s="28" t="s">
        <v>294</v>
      </c>
      <c r="Q81" s="28" t="s">
        <v>492</v>
      </c>
      <c r="R81" s="28" t="s">
        <v>492</v>
      </c>
      <c r="S81" s="28" t="s">
        <v>492</v>
      </c>
      <c r="T81" s="28" t="s">
        <v>492</v>
      </c>
    </row>
    <row r="82" spans="1:20" x14ac:dyDescent="0.25">
      <c r="A82" s="28">
        <v>58</v>
      </c>
      <c r="B82" s="29" t="s">
        <v>294</v>
      </c>
      <c r="C82" s="199" t="s">
        <v>737</v>
      </c>
      <c r="D82" s="28" t="s">
        <v>625</v>
      </c>
      <c r="E82" s="28" t="s">
        <v>294</v>
      </c>
      <c r="F82" s="28" t="s">
        <v>627</v>
      </c>
      <c r="G82" s="198" t="s">
        <v>294</v>
      </c>
      <c r="H82" s="198" t="s">
        <v>738</v>
      </c>
      <c r="I82" s="28" t="s">
        <v>294</v>
      </c>
      <c r="J82" s="28" t="s">
        <v>629</v>
      </c>
      <c r="K82" s="28" t="s">
        <v>294</v>
      </c>
      <c r="L82" s="28" t="s">
        <v>294</v>
      </c>
      <c r="M82" s="28">
        <v>10</v>
      </c>
      <c r="N82" s="28" t="s">
        <v>294</v>
      </c>
      <c r="O82" s="28">
        <v>0.25</v>
      </c>
      <c r="P82" s="28" t="s">
        <v>294</v>
      </c>
      <c r="Q82" s="28" t="s">
        <v>492</v>
      </c>
      <c r="R82" s="28" t="s">
        <v>492</v>
      </c>
      <c r="S82" s="28" t="s">
        <v>492</v>
      </c>
      <c r="T82" s="28" t="s">
        <v>492</v>
      </c>
    </row>
    <row r="83" spans="1:20" x14ac:dyDescent="0.25">
      <c r="A83" s="28">
        <v>59</v>
      </c>
      <c r="B83" s="29" t="s">
        <v>294</v>
      </c>
      <c r="C83" s="199" t="s">
        <v>739</v>
      </c>
      <c r="D83" s="28" t="s">
        <v>625</v>
      </c>
      <c r="E83" s="28" t="s">
        <v>294</v>
      </c>
      <c r="F83" s="28" t="s">
        <v>627</v>
      </c>
      <c r="G83" s="198" t="s">
        <v>294</v>
      </c>
      <c r="H83" s="198" t="s">
        <v>740</v>
      </c>
      <c r="I83" s="28" t="s">
        <v>294</v>
      </c>
      <c r="J83" s="28" t="s">
        <v>629</v>
      </c>
      <c r="K83" s="28" t="s">
        <v>294</v>
      </c>
      <c r="L83" s="28" t="s">
        <v>294</v>
      </c>
      <c r="M83" s="28">
        <v>10</v>
      </c>
      <c r="N83" s="28" t="s">
        <v>294</v>
      </c>
      <c r="O83" s="28">
        <v>0.25</v>
      </c>
      <c r="P83" s="28" t="s">
        <v>294</v>
      </c>
      <c r="Q83" s="28" t="s">
        <v>492</v>
      </c>
      <c r="R83" s="28" t="s">
        <v>492</v>
      </c>
      <c r="S83" s="28" t="s">
        <v>492</v>
      </c>
      <c r="T83" s="28" t="s">
        <v>492</v>
      </c>
    </row>
    <row r="84" spans="1:20" x14ac:dyDescent="0.25">
      <c r="A84" s="28">
        <v>60</v>
      </c>
      <c r="B84" s="29" t="s">
        <v>294</v>
      </c>
      <c r="C84" s="199" t="s">
        <v>741</v>
      </c>
      <c r="D84" s="28" t="s">
        <v>625</v>
      </c>
      <c r="E84" s="28" t="s">
        <v>294</v>
      </c>
      <c r="F84" s="28" t="s">
        <v>627</v>
      </c>
      <c r="G84" s="198" t="s">
        <v>294</v>
      </c>
      <c r="H84" s="198" t="s">
        <v>742</v>
      </c>
      <c r="I84" s="28" t="s">
        <v>294</v>
      </c>
      <c r="J84" s="28" t="s">
        <v>629</v>
      </c>
      <c r="K84" s="28" t="s">
        <v>294</v>
      </c>
      <c r="L84" s="28" t="s">
        <v>294</v>
      </c>
      <c r="M84" s="28">
        <v>10</v>
      </c>
      <c r="N84" s="28" t="s">
        <v>294</v>
      </c>
      <c r="O84" s="28">
        <v>0.16</v>
      </c>
      <c r="P84" s="28" t="s">
        <v>294</v>
      </c>
      <c r="Q84" s="28" t="s">
        <v>492</v>
      </c>
      <c r="R84" s="28" t="s">
        <v>492</v>
      </c>
      <c r="S84" s="28" t="s">
        <v>492</v>
      </c>
      <c r="T84" s="28" t="s">
        <v>492</v>
      </c>
    </row>
    <row r="85" spans="1:20" x14ac:dyDescent="0.25">
      <c r="A85" s="28">
        <v>61</v>
      </c>
      <c r="B85" s="29" t="s">
        <v>294</v>
      </c>
      <c r="C85" s="199" t="s">
        <v>743</v>
      </c>
      <c r="D85" s="28" t="s">
        <v>625</v>
      </c>
      <c r="E85" s="28" t="s">
        <v>294</v>
      </c>
      <c r="F85" s="28" t="s">
        <v>627</v>
      </c>
      <c r="G85" s="198" t="s">
        <v>294</v>
      </c>
      <c r="H85" s="198" t="s">
        <v>744</v>
      </c>
      <c r="I85" s="28" t="s">
        <v>294</v>
      </c>
      <c r="J85" s="28" t="s">
        <v>629</v>
      </c>
      <c r="K85" s="28" t="s">
        <v>294</v>
      </c>
      <c r="L85" s="28" t="s">
        <v>294</v>
      </c>
      <c r="M85" s="28">
        <v>10</v>
      </c>
      <c r="N85" s="28" t="s">
        <v>294</v>
      </c>
      <c r="O85" s="28">
        <v>0.16</v>
      </c>
      <c r="P85" s="28" t="s">
        <v>294</v>
      </c>
      <c r="Q85" s="28" t="s">
        <v>492</v>
      </c>
      <c r="R85" s="28" t="s">
        <v>492</v>
      </c>
      <c r="S85" s="28" t="s">
        <v>492</v>
      </c>
      <c r="T85" s="28" t="s">
        <v>492</v>
      </c>
    </row>
    <row r="86" spans="1:20" x14ac:dyDescent="0.25">
      <c r="A86" s="28">
        <v>62</v>
      </c>
      <c r="B86" s="29" t="s">
        <v>294</v>
      </c>
      <c r="C86" s="199" t="s">
        <v>745</v>
      </c>
      <c r="D86" s="28" t="s">
        <v>625</v>
      </c>
      <c r="E86" s="28" t="s">
        <v>294</v>
      </c>
      <c r="F86" s="28" t="s">
        <v>627</v>
      </c>
      <c r="G86" s="198" t="s">
        <v>294</v>
      </c>
      <c r="H86" s="198" t="s">
        <v>746</v>
      </c>
      <c r="I86" s="28" t="s">
        <v>294</v>
      </c>
      <c r="J86" s="28" t="s">
        <v>629</v>
      </c>
      <c r="K86" s="28" t="s">
        <v>294</v>
      </c>
      <c r="L86" s="28" t="s">
        <v>294</v>
      </c>
      <c r="M86" s="28">
        <v>10</v>
      </c>
      <c r="N86" s="28" t="s">
        <v>294</v>
      </c>
      <c r="O86" s="28">
        <v>0.16</v>
      </c>
      <c r="P86" s="28" t="s">
        <v>294</v>
      </c>
      <c r="Q86" s="28" t="s">
        <v>492</v>
      </c>
      <c r="R86" s="28" t="s">
        <v>492</v>
      </c>
      <c r="S86" s="28" t="s">
        <v>492</v>
      </c>
      <c r="T86" s="28" t="s">
        <v>492</v>
      </c>
    </row>
    <row r="88" spans="1:20" x14ac:dyDescent="0.25">
      <c r="A88" s="31"/>
      <c r="B88" s="32"/>
      <c r="C88" s="32"/>
      <c r="D88" s="31"/>
      <c r="E88" s="31"/>
      <c r="F88" s="31"/>
      <c r="G88" s="31"/>
      <c r="H88" s="31"/>
      <c r="I88" s="31"/>
      <c r="J88" s="31"/>
      <c r="K88" s="32"/>
      <c r="L88" s="31"/>
      <c r="M88" s="31"/>
      <c r="N88" s="31"/>
      <c r="O88" s="31"/>
      <c r="P88" s="31"/>
      <c r="Q88" s="31"/>
      <c r="R88" s="31"/>
      <c r="S88" s="31"/>
      <c r="T88" s="31"/>
    </row>
    <row r="89" spans="1:20" x14ac:dyDescent="0.25">
      <c r="A89" s="31"/>
      <c r="B89" s="33" t="s">
        <v>305</v>
      </c>
      <c r="C89" s="33"/>
      <c r="D89" s="33"/>
      <c r="E89" s="33"/>
      <c r="F89" s="33"/>
      <c r="G89" s="33"/>
      <c r="H89" s="33"/>
      <c r="I89" s="33"/>
      <c r="J89" s="33"/>
      <c r="K89" s="33"/>
      <c r="L89" s="33"/>
      <c r="M89" s="33"/>
      <c r="N89" s="33"/>
      <c r="O89" s="33"/>
      <c r="P89" s="33"/>
      <c r="Q89" s="33"/>
      <c r="R89" s="33"/>
      <c r="S89" s="31"/>
      <c r="T89" s="31"/>
    </row>
    <row r="90" spans="1:20" x14ac:dyDescent="0.25">
      <c r="B90" s="272" t="s">
        <v>306</v>
      </c>
      <c r="C90" s="272"/>
      <c r="D90" s="272"/>
      <c r="E90" s="272"/>
      <c r="F90" s="272"/>
      <c r="G90" s="272"/>
      <c r="H90" s="272"/>
      <c r="I90" s="272"/>
      <c r="J90" s="272"/>
      <c r="K90" s="272"/>
      <c r="L90" s="272"/>
      <c r="M90" s="272"/>
      <c r="N90" s="272"/>
      <c r="O90" s="272"/>
      <c r="P90" s="272"/>
      <c r="Q90" s="272"/>
      <c r="R90" s="272"/>
    </row>
    <row r="91" spans="1:20" x14ac:dyDescent="0.25">
      <c r="B91" s="33"/>
      <c r="C91" s="33"/>
      <c r="D91" s="33"/>
      <c r="E91" s="33"/>
      <c r="F91" s="33"/>
      <c r="G91" s="33"/>
      <c r="H91" s="33"/>
      <c r="I91" s="33"/>
      <c r="J91" s="33"/>
      <c r="K91" s="33"/>
      <c r="L91" s="33"/>
      <c r="M91" s="33"/>
      <c r="N91" s="33"/>
      <c r="O91" s="33"/>
      <c r="P91" s="33"/>
      <c r="Q91" s="33"/>
      <c r="R91" s="33"/>
      <c r="S91" s="33"/>
      <c r="T91" s="33"/>
    </row>
    <row r="92" spans="1:20" x14ac:dyDescent="0.25">
      <c r="B92" s="34" t="s">
        <v>307</v>
      </c>
      <c r="C92" s="34"/>
      <c r="D92" s="34"/>
      <c r="E92" s="34"/>
      <c r="F92" s="35"/>
      <c r="G92" s="35"/>
      <c r="H92" s="34"/>
      <c r="I92" s="34"/>
      <c r="J92" s="34"/>
      <c r="K92" s="34"/>
      <c r="L92" s="34"/>
      <c r="M92" s="34"/>
      <c r="N92" s="34"/>
      <c r="O92" s="34"/>
      <c r="P92" s="34"/>
      <c r="Q92" s="34"/>
      <c r="R92" s="34"/>
      <c r="S92" s="36"/>
      <c r="T92" s="36"/>
    </row>
    <row r="93" spans="1:20" x14ac:dyDescent="0.25">
      <c r="B93" s="34" t="s">
        <v>308</v>
      </c>
      <c r="C93" s="34"/>
      <c r="D93" s="34"/>
      <c r="E93" s="34"/>
      <c r="F93" s="35"/>
      <c r="G93" s="35"/>
      <c r="H93" s="34"/>
      <c r="I93" s="34"/>
      <c r="J93" s="34"/>
      <c r="K93" s="34"/>
      <c r="L93" s="34"/>
      <c r="M93" s="34"/>
      <c r="N93" s="34"/>
      <c r="O93" s="34"/>
      <c r="P93" s="34"/>
      <c r="Q93" s="34"/>
      <c r="R93" s="34"/>
    </row>
    <row r="94" spans="1:20" x14ac:dyDescent="0.25">
      <c r="A94" s="35"/>
      <c r="B94" s="34" t="s">
        <v>309</v>
      </c>
      <c r="C94" s="34"/>
      <c r="D94" s="34"/>
      <c r="E94" s="34"/>
      <c r="F94" s="35"/>
      <c r="G94" s="35"/>
      <c r="H94" s="34"/>
      <c r="I94" s="34"/>
      <c r="J94" s="34"/>
      <c r="K94" s="34"/>
      <c r="L94" s="34"/>
      <c r="M94" s="34"/>
      <c r="N94" s="34"/>
      <c r="O94" s="34"/>
      <c r="P94" s="34"/>
      <c r="Q94" s="34"/>
      <c r="R94" s="34"/>
      <c r="S94" s="35"/>
      <c r="T94" s="35"/>
    </row>
    <row r="95" spans="1:20" x14ac:dyDescent="0.25">
      <c r="A95" s="35"/>
      <c r="B95" s="34" t="s">
        <v>310</v>
      </c>
      <c r="C95" s="34"/>
      <c r="D95" s="34"/>
      <c r="E95" s="34"/>
      <c r="F95" s="35"/>
      <c r="G95" s="35"/>
      <c r="H95" s="34"/>
      <c r="I95" s="34"/>
      <c r="J95" s="34"/>
      <c r="K95" s="34"/>
      <c r="L95" s="34"/>
      <c r="M95" s="34"/>
      <c r="N95" s="34"/>
      <c r="O95" s="34"/>
      <c r="P95" s="34"/>
      <c r="Q95" s="34"/>
      <c r="R95" s="34"/>
      <c r="S95" s="34"/>
      <c r="T95" s="34"/>
    </row>
    <row r="96" spans="1:20" x14ac:dyDescent="0.25">
      <c r="A96" s="35"/>
      <c r="B96" s="34" t="s">
        <v>311</v>
      </c>
      <c r="C96" s="34"/>
      <c r="D96" s="34"/>
      <c r="E96" s="34"/>
      <c r="F96" s="35"/>
      <c r="G96" s="35"/>
      <c r="H96" s="34"/>
      <c r="I96" s="34"/>
      <c r="J96" s="34"/>
      <c r="K96" s="34"/>
      <c r="L96" s="34"/>
      <c r="M96" s="34"/>
      <c r="N96" s="34"/>
      <c r="O96" s="34"/>
      <c r="P96" s="34"/>
      <c r="Q96" s="34"/>
      <c r="R96" s="34"/>
      <c r="S96" s="34"/>
      <c r="T96" s="34"/>
    </row>
    <row r="97" spans="1:20" x14ac:dyDescent="0.25">
      <c r="A97" s="35"/>
      <c r="B97" s="34" t="s">
        <v>312</v>
      </c>
      <c r="C97" s="34"/>
      <c r="D97" s="34"/>
      <c r="E97" s="34"/>
      <c r="F97" s="35"/>
      <c r="G97" s="35"/>
      <c r="H97" s="34"/>
      <c r="I97" s="34"/>
      <c r="J97" s="34"/>
      <c r="K97" s="34"/>
      <c r="L97" s="34"/>
      <c r="M97" s="34"/>
      <c r="N97" s="34"/>
      <c r="O97" s="34"/>
      <c r="P97" s="34"/>
      <c r="Q97" s="34"/>
      <c r="R97" s="34"/>
      <c r="S97" s="34"/>
      <c r="T97" s="34"/>
    </row>
    <row r="98" spans="1:20" x14ac:dyDescent="0.25">
      <c r="A98" s="35"/>
      <c r="B98" s="34" t="s">
        <v>313</v>
      </c>
      <c r="C98" s="34"/>
      <c r="D98" s="34"/>
      <c r="E98" s="34"/>
      <c r="F98" s="35"/>
      <c r="G98" s="35"/>
      <c r="H98" s="34"/>
      <c r="I98" s="34"/>
      <c r="J98" s="34"/>
      <c r="K98" s="34"/>
      <c r="L98" s="34"/>
      <c r="M98" s="34"/>
      <c r="N98" s="34"/>
      <c r="O98" s="34"/>
      <c r="P98" s="34"/>
      <c r="Q98" s="34"/>
      <c r="R98" s="34"/>
      <c r="S98" s="34"/>
      <c r="T98" s="34"/>
    </row>
    <row r="99" spans="1:20" x14ac:dyDescent="0.25">
      <c r="A99" s="35"/>
      <c r="B99" s="34" t="s">
        <v>314</v>
      </c>
      <c r="C99" s="34"/>
      <c r="D99" s="34"/>
      <c r="E99" s="34"/>
      <c r="F99" s="35"/>
      <c r="G99" s="35"/>
      <c r="H99" s="34"/>
      <c r="I99" s="34"/>
      <c r="J99" s="34"/>
      <c r="K99" s="34"/>
      <c r="L99" s="34"/>
      <c r="M99" s="34"/>
      <c r="N99" s="34"/>
      <c r="O99" s="34"/>
      <c r="P99" s="34"/>
      <c r="Q99" s="34"/>
      <c r="R99" s="34"/>
      <c r="S99" s="34"/>
      <c r="T99" s="34"/>
    </row>
    <row r="100" spans="1:20" x14ac:dyDescent="0.25">
      <c r="A100" s="35"/>
      <c r="B100" s="34" t="s">
        <v>315</v>
      </c>
      <c r="C100" s="34"/>
      <c r="D100" s="34"/>
      <c r="E100" s="34"/>
      <c r="F100" s="35"/>
      <c r="G100" s="35"/>
      <c r="H100" s="34"/>
      <c r="I100" s="34"/>
      <c r="J100" s="34"/>
      <c r="K100" s="34"/>
      <c r="L100" s="34"/>
      <c r="M100" s="34"/>
      <c r="N100" s="34"/>
      <c r="O100" s="34"/>
      <c r="P100" s="34"/>
      <c r="Q100" s="34"/>
      <c r="R100" s="34"/>
      <c r="S100" s="34"/>
      <c r="T100" s="34"/>
    </row>
    <row r="101" spans="1:20" x14ac:dyDescent="0.25">
      <c r="A101" s="35"/>
      <c r="B101" s="34" t="s">
        <v>316</v>
      </c>
      <c r="C101" s="34"/>
      <c r="D101" s="34"/>
      <c r="E101" s="34"/>
      <c r="F101" s="35"/>
      <c r="G101" s="35"/>
      <c r="H101" s="34"/>
      <c r="I101" s="34"/>
      <c r="J101" s="34"/>
      <c r="K101" s="34"/>
      <c r="L101" s="34"/>
      <c r="M101" s="34"/>
      <c r="N101" s="34"/>
      <c r="O101" s="34"/>
      <c r="P101" s="34"/>
      <c r="Q101" s="34"/>
      <c r="R101" s="34"/>
      <c r="S101" s="34"/>
      <c r="T101" s="34"/>
    </row>
    <row r="102" spans="1:20" x14ac:dyDescent="0.25">
      <c r="A102" s="35"/>
      <c r="B102" s="35"/>
      <c r="C102" s="35"/>
      <c r="D102" s="35"/>
      <c r="E102" s="35"/>
      <c r="F102" s="35"/>
      <c r="G102" s="35"/>
      <c r="H102" s="35"/>
      <c r="I102" s="35"/>
      <c r="J102" s="35"/>
      <c r="K102" s="35"/>
      <c r="L102" s="35"/>
      <c r="M102" s="35"/>
      <c r="N102" s="35"/>
      <c r="O102" s="35"/>
      <c r="P102" s="35"/>
      <c r="Q102" s="34"/>
      <c r="R102" s="34"/>
      <c r="S102" s="34"/>
      <c r="T102" s="34"/>
    </row>
    <row r="103" spans="1:20" x14ac:dyDescent="0.25">
      <c r="A103" s="35"/>
      <c r="B103" s="35"/>
      <c r="C103" s="35"/>
      <c r="D103" s="35"/>
      <c r="E103" s="35"/>
      <c r="F103" s="35"/>
      <c r="G103" s="35"/>
      <c r="H103" s="35"/>
      <c r="I103" s="35"/>
      <c r="J103" s="35"/>
      <c r="K103" s="35"/>
      <c r="L103" s="35"/>
      <c r="M103" s="35"/>
      <c r="N103" s="35"/>
      <c r="O103" s="35"/>
      <c r="P103" s="35"/>
      <c r="Q103" s="34"/>
      <c r="R103" s="34"/>
      <c r="S103" s="34"/>
      <c r="T103" s="34"/>
    </row>
  </sheetData>
  <mergeCells count="29">
    <mergeCell ref="B90:R90"/>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54"/>
  <sheetViews>
    <sheetView view="pageBreakPreview" topLeftCell="A16" zoomScale="55" zoomScaleNormal="100" zoomScaleSheetLayoutView="55" workbookViewId="0">
      <selection activeCell="A25" sqref="A25:AA154"/>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7" customFormat="1" ht="18.75" customHeight="1" x14ac:dyDescent="0.3">
      <c r="E2" s="19"/>
      <c r="AA2" s="14" t="s">
        <v>6</v>
      </c>
    </row>
    <row r="3" spans="1:27" s="77" customFormat="1" ht="18.75" customHeight="1" x14ac:dyDescent="0.3">
      <c r="E3" s="19"/>
      <c r="AA3" s="14" t="s">
        <v>21</v>
      </c>
    </row>
    <row r="4" spans="1:27" s="77" customFormat="1" x14ac:dyDescent="0.2">
      <c r="E4" s="13"/>
    </row>
    <row r="5" spans="1:27" s="77" customFormat="1" x14ac:dyDescent="0.2">
      <c r="A5" s="236" t="str">
        <f>'1. паспорт местоположение'!$A$5</f>
        <v>Год раскрытия информации: 2025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row>
    <row r="6" spans="1:27" s="77" customFormat="1" x14ac:dyDescent="0.2">
      <c r="A6" s="75"/>
      <c r="B6" s="75"/>
      <c r="C6" s="75"/>
      <c r="D6" s="75"/>
      <c r="E6" s="75"/>
      <c r="F6" s="75"/>
      <c r="G6" s="75"/>
      <c r="H6" s="75"/>
      <c r="I6" s="75"/>
      <c r="J6" s="75"/>
      <c r="K6" s="75"/>
      <c r="L6" s="75"/>
      <c r="M6" s="75"/>
      <c r="N6" s="75"/>
      <c r="O6" s="75"/>
      <c r="P6" s="75"/>
      <c r="Q6" s="75"/>
      <c r="R6" s="75"/>
      <c r="S6" s="75"/>
      <c r="T6" s="75"/>
    </row>
    <row r="7" spans="1:27" s="77" customFormat="1" ht="18.75" x14ac:dyDescent="0.2">
      <c r="E7" s="240" t="s">
        <v>5</v>
      </c>
      <c r="F7" s="240"/>
      <c r="G7" s="240"/>
      <c r="H7" s="240"/>
      <c r="I7" s="240"/>
      <c r="J7" s="240"/>
      <c r="K7" s="240"/>
      <c r="L7" s="240"/>
      <c r="M7" s="240"/>
      <c r="N7" s="240"/>
      <c r="O7" s="240"/>
      <c r="P7" s="240"/>
      <c r="Q7" s="240"/>
      <c r="R7" s="240"/>
      <c r="S7" s="240"/>
      <c r="T7" s="240"/>
      <c r="U7" s="240"/>
      <c r="V7" s="240"/>
      <c r="W7" s="240"/>
      <c r="X7" s="240"/>
      <c r="Y7" s="240"/>
    </row>
    <row r="8" spans="1:27" s="77" customFormat="1" ht="18.75" x14ac:dyDescent="0.2">
      <c r="E8" s="82"/>
      <c r="F8" s="82"/>
      <c r="G8" s="82"/>
      <c r="H8" s="82"/>
      <c r="I8" s="82"/>
      <c r="J8" s="82"/>
      <c r="K8" s="82"/>
      <c r="L8" s="82"/>
      <c r="M8" s="82"/>
      <c r="N8" s="82"/>
      <c r="O8" s="82"/>
      <c r="P8" s="82"/>
      <c r="Q8" s="82"/>
      <c r="R8" s="82"/>
      <c r="S8" s="17"/>
      <c r="T8" s="17"/>
      <c r="U8" s="17"/>
      <c r="V8" s="17"/>
      <c r="W8" s="17"/>
    </row>
    <row r="9" spans="1:27" s="77" customFormat="1" ht="18.75" customHeight="1" x14ac:dyDescent="0.2">
      <c r="E9" s="241" t="s">
        <v>264</v>
      </c>
      <c r="F9" s="241"/>
      <c r="G9" s="241"/>
      <c r="H9" s="241"/>
      <c r="I9" s="241"/>
      <c r="J9" s="241"/>
      <c r="K9" s="241"/>
      <c r="L9" s="241"/>
      <c r="M9" s="241"/>
      <c r="N9" s="241"/>
      <c r="O9" s="241"/>
      <c r="P9" s="241"/>
      <c r="Q9" s="241"/>
      <c r="R9" s="241"/>
      <c r="S9" s="241"/>
      <c r="T9" s="241"/>
      <c r="U9" s="241"/>
      <c r="V9" s="241"/>
      <c r="W9" s="241"/>
      <c r="X9" s="241"/>
      <c r="Y9" s="241"/>
    </row>
    <row r="10" spans="1:27" s="77" customFormat="1" ht="18.75" customHeight="1" x14ac:dyDescent="0.2">
      <c r="E10" s="246" t="s">
        <v>4</v>
      </c>
      <c r="F10" s="246"/>
      <c r="G10" s="246"/>
      <c r="H10" s="246"/>
      <c r="I10" s="246"/>
      <c r="J10" s="246"/>
      <c r="K10" s="246"/>
      <c r="L10" s="246"/>
      <c r="M10" s="246"/>
      <c r="N10" s="246"/>
      <c r="O10" s="246"/>
      <c r="P10" s="246"/>
      <c r="Q10" s="246"/>
      <c r="R10" s="246"/>
      <c r="S10" s="246"/>
      <c r="T10" s="246"/>
      <c r="U10" s="246"/>
      <c r="V10" s="246"/>
      <c r="W10" s="246"/>
      <c r="X10" s="246"/>
      <c r="Y10" s="246"/>
    </row>
    <row r="11" spans="1:27" s="77" customFormat="1" ht="18.75" x14ac:dyDescent="0.2">
      <c r="E11" s="82"/>
      <c r="F11" s="82"/>
      <c r="G11" s="82"/>
      <c r="H11" s="82"/>
      <c r="I11" s="82"/>
      <c r="J11" s="82"/>
      <c r="K11" s="82"/>
      <c r="L11" s="82"/>
      <c r="M11" s="82"/>
      <c r="N11" s="82"/>
      <c r="O11" s="82"/>
      <c r="P11" s="82"/>
      <c r="Q11" s="82"/>
      <c r="R11" s="82"/>
      <c r="S11" s="17"/>
      <c r="T11" s="17"/>
      <c r="U11" s="17"/>
      <c r="V11" s="17"/>
      <c r="W11" s="17"/>
    </row>
    <row r="12" spans="1:27" s="77" customFormat="1" ht="18.75" customHeight="1" x14ac:dyDescent="0.2">
      <c r="E12" s="241" t="str">
        <f>'1. паспорт местоположение'!$A$12</f>
        <v>L_Che370</v>
      </c>
      <c r="F12" s="241"/>
      <c r="G12" s="241"/>
      <c r="H12" s="241"/>
      <c r="I12" s="241"/>
      <c r="J12" s="241"/>
      <c r="K12" s="241"/>
      <c r="L12" s="241"/>
      <c r="M12" s="241"/>
      <c r="N12" s="241"/>
      <c r="O12" s="241"/>
      <c r="P12" s="241"/>
      <c r="Q12" s="241"/>
      <c r="R12" s="241"/>
      <c r="S12" s="241"/>
      <c r="T12" s="241"/>
      <c r="U12" s="241"/>
      <c r="V12" s="241"/>
      <c r="W12" s="241"/>
      <c r="X12" s="241"/>
      <c r="Y12" s="241"/>
    </row>
    <row r="13" spans="1:27" s="77" customFormat="1" ht="18.75" customHeight="1" x14ac:dyDescent="0.2">
      <c r="E13" s="246" t="s">
        <v>3</v>
      </c>
      <c r="F13" s="246"/>
      <c r="G13" s="246"/>
      <c r="H13" s="246"/>
      <c r="I13" s="246"/>
      <c r="J13" s="246"/>
      <c r="K13" s="246"/>
      <c r="L13" s="246"/>
      <c r="M13" s="246"/>
      <c r="N13" s="246"/>
      <c r="O13" s="246"/>
      <c r="P13" s="246"/>
      <c r="Q13" s="246"/>
      <c r="R13" s="246"/>
      <c r="S13" s="246"/>
      <c r="T13" s="246"/>
      <c r="U13" s="246"/>
      <c r="V13" s="246"/>
      <c r="W13" s="246"/>
      <c r="X13" s="246"/>
      <c r="Y13" s="246"/>
    </row>
    <row r="14" spans="1:27" s="80"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47" t="str">
        <f>'1. паспорт местоположение'!$A$15</f>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
      <c r="F15" s="247"/>
      <c r="G15" s="247"/>
      <c r="H15" s="247"/>
      <c r="I15" s="247"/>
      <c r="J15" s="247"/>
      <c r="K15" s="247"/>
      <c r="L15" s="247"/>
      <c r="M15" s="247"/>
      <c r="N15" s="247"/>
      <c r="O15" s="247"/>
      <c r="P15" s="247"/>
      <c r="Q15" s="247"/>
      <c r="R15" s="247"/>
      <c r="S15" s="247"/>
      <c r="T15" s="247"/>
      <c r="U15" s="247"/>
      <c r="V15" s="247"/>
      <c r="W15" s="247"/>
      <c r="X15" s="247"/>
      <c r="Y15" s="247"/>
    </row>
    <row r="16" spans="1:27" s="25" customFormat="1" ht="15" customHeight="1" x14ac:dyDescent="0.2">
      <c r="E16" s="246" t="s">
        <v>2</v>
      </c>
      <c r="F16" s="246"/>
      <c r="G16" s="246"/>
      <c r="H16" s="246"/>
      <c r="I16" s="246"/>
      <c r="J16" s="246"/>
      <c r="K16" s="246"/>
      <c r="L16" s="246"/>
      <c r="M16" s="246"/>
      <c r="N16" s="246"/>
      <c r="O16" s="246"/>
      <c r="P16" s="246"/>
      <c r="Q16" s="246"/>
      <c r="R16" s="246"/>
      <c r="S16" s="246"/>
      <c r="T16" s="246"/>
      <c r="U16" s="246"/>
      <c r="V16" s="246"/>
      <c r="W16" s="246"/>
      <c r="X16" s="246"/>
      <c r="Y16" s="246"/>
    </row>
    <row r="17" spans="1:27" s="25" customFormat="1" ht="15" customHeight="1" x14ac:dyDescent="0.2">
      <c r="E17" s="78"/>
      <c r="F17" s="78"/>
      <c r="G17" s="78"/>
      <c r="H17" s="78"/>
      <c r="I17" s="78"/>
      <c r="J17" s="78"/>
      <c r="K17" s="78"/>
      <c r="L17" s="78"/>
      <c r="M17" s="78"/>
      <c r="N17" s="78"/>
      <c r="O17" s="78"/>
      <c r="P17" s="78"/>
      <c r="Q17" s="78"/>
      <c r="R17" s="78"/>
      <c r="S17" s="78"/>
      <c r="T17" s="78"/>
      <c r="U17" s="78"/>
      <c r="V17" s="78"/>
      <c r="W17" s="78"/>
    </row>
    <row r="18" spans="1:27" s="25" customFormat="1" ht="15" customHeight="1" x14ac:dyDescent="0.2">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x14ac:dyDescent="0.25">
      <c r="A19" s="259" t="s">
        <v>244</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26" customFormat="1" ht="21" customHeight="1" x14ac:dyDescent="0.25"/>
    <row r="21" spans="1:27" ht="15.75" customHeight="1" x14ac:dyDescent="0.25">
      <c r="A21" s="268" t="s">
        <v>1</v>
      </c>
      <c r="B21" s="264" t="s">
        <v>249</v>
      </c>
      <c r="C21" s="265"/>
      <c r="D21" s="264" t="s">
        <v>251</v>
      </c>
      <c r="E21" s="265"/>
      <c r="F21" s="256" t="s">
        <v>29</v>
      </c>
      <c r="G21" s="257"/>
      <c r="H21" s="257"/>
      <c r="I21" s="273"/>
      <c r="J21" s="268" t="s">
        <v>252</v>
      </c>
      <c r="K21" s="264" t="s">
        <v>253</v>
      </c>
      <c r="L21" s="265"/>
      <c r="M21" s="264" t="s">
        <v>254</v>
      </c>
      <c r="N21" s="265"/>
      <c r="O21" s="264" t="s">
        <v>243</v>
      </c>
      <c r="P21" s="265"/>
      <c r="Q21" s="264" t="s">
        <v>41</v>
      </c>
      <c r="R21" s="265"/>
      <c r="S21" s="268" t="s">
        <v>40</v>
      </c>
      <c r="T21" s="268" t="s">
        <v>255</v>
      </c>
      <c r="U21" s="268" t="s">
        <v>250</v>
      </c>
      <c r="V21" s="264" t="s">
        <v>39</v>
      </c>
      <c r="W21" s="265"/>
      <c r="X21" s="256" t="s">
        <v>36</v>
      </c>
      <c r="Y21" s="257"/>
      <c r="Z21" s="256" t="s">
        <v>35</v>
      </c>
      <c r="AA21" s="257"/>
    </row>
    <row r="22" spans="1:27" ht="216" customHeight="1" x14ac:dyDescent="0.25">
      <c r="A22" s="269"/>
      <c r="B22" s="266"/>
      <c r="C22" s="267"/>
      <c r="D22" s="266"/>
      <c r="E22" s="267"/>
      <c r="F22" s="256" t="s">
        <v>38</v>
      </c>
      <c r="G22" s="273"/>
      <c r="H22" s="256" t="s">
        <v>37</v>
      </c>
      <c r="I22" s="273"/>
      <c r="J22" s="270"/>
      <c r="K22" s="266"/>
      <c r="L22" s="267"/>
      <c r="M22" s="266"/>
      <c r="N22" s="267"/>
      <c r="O22" s="266"/>
      <c r="P22" s="267"/>
      <c r="Q22" s="266"/>
      <c r="R22" s="267"/>
      <c r="S22" s="270"/>
      <c r="T22" s="270"/>
      <c r="U22" s="270"/>
      <c r="V22" s="266"/>
      <c r="W22" s="267"/>
      <c r="X22" s="27" t="s">
        <v>34</v>
      </c>
      <c r="Y22" s="27" t="s">
        <v>242</v>
      </c>
      <c r="Z22" s="27" t="s">
        <v>33</v>
      </c>
      <c r="AA22" s="27" t="s">
        <v>32</v>
      </c>
    </row>
    <row r="23" spans="1:27" ht="60" customHeight="1" x14ac:dyDescent="0.25">
      <c r="A23" s="270"/>
      <c r="B23" s="79" t="s">
        <v>30</v>
      </c>
      <c r="C23" s="79" t="s">
        <v>31</v>
      </c>
      <c r="D23" s="79" t="s">
        <v>30</v>
      </c>
      <c r="E23" s="79" t="s">
        <v>31</v>
      </c>
      <c r="F23" s="79" t="s">
        <v>30</v>
      </c>
      <c r="G23" s="79" t="s">
        <v>31</v>
      </c>
      <c r="H23" s="79" t="s">
        <v>30</v>
      </c>
      <c r="I23" s="79" t="s">
        <v>31</v>
      </c>
      <c r="J23" s="79" t="s">
        <v>30</v>
      </c>
      <c r="K23" s="79" t="s">
        <v>30</v>
      </c>
      <c r="L23" s="79" t="s">
        <v>31</v>
      </c>
      <c r="M23" s="79" t="s">
        <v>30</v>
      </c>
      <c r="N23" s="79" t="s">
        <v>31</v>
      </c>
      <c r="O23" s="79" t="s">
        <v>30</v>
      </c>
      <c r="P23" s="79" t="s">
        <v>31</v>
      </c>
      <c r="Q23" s="79" t="s">
        <v>30</v>
      </c>
      <c r="R23" s="79" t="s">
        <v>31</v>
      </c>
      <c r="S23" s="79" t="s">
        <v>30</v>
      </c>
      <c r="T23" s="79" t="s">
        <v>30</v>
      </c>
      <c r="U23" s="79" t="s">
        <v>30</v>
      </c>
      <c r="V23" s="79" t="s">
        <v>30</v>
      </c>
      <c r="W23" s="79" t="s">
        <v>31</v>
      </c>
      <c r="X23" s="79" t="s">
        <v>30</v>
      </c>
      <c r="Y23" s="79" t="s">
        <v>30</v>
      </c>
      <c r="Z23" s="27" t="s">
        <v>30</v>
      </c>
      <c r="AA23" s="27" t="s">
        <v>30</v>
      </c>
    </row>
    <row r="24" spans="1:27" x14ac:dyDescent="0.25">
      <c r="A24" s="138">
        <v>1</v>
      </c>
      <c r="B24" s="138">
        <v>2</v>
      </c>
      <c r="C24" s="138">
        <v>3</v>
      </c>
      <c r="D24" s="138">
        <v>4</v>
      </c>
      <c r="E24" s="138">
        <v>5</v>
      </c>
      <c r="F24" s="138">
        <v>6</v>
      </c>
      <c r="G24" s="138">
        <v>7</v>
      </c>
      <c r="H24" s="138">
        <v>8</v>
      </c>
      <c r="I24" s="138">
        <v>9</v>
      </c>
      <c r="J24" s="138">
        <v>10</v>
      </c>
      <c r="K24" s="138">
        <v>11</v>
      </c>
      <c r="L24" s="138">
        <v>12</v>
      </c>
      <c r="M24" s="138">
        <v>13</v>
      </c>
      <c r="N24" s="138">
        <v>14</v>
      </c>
      <c r="O24" s="138">
        <v>15</v>
      </c>
      <c r="P24" s="138">
        <v>16</v>
      </c>
      <c r="Q24" s="138">
        <v>19</v>
      </c>
      <c r="R24" s="138">
        <v>20</v>
      </c>
      <c r="S24" s="138">
        <v>21</v>
      </c>
      <c r="T24" s="138">
        <v>22</v>
      </c>
      <c r="U24" s="138">
        <v>23</v>
      </c>
      <c r="V24" s="138">
        <v>24</v>
      </c>
      <c r="W24" s="138">
        <v>25</v>
      </c>
      <c r="X24" s="138">
        <v>26</v>
      </c>
      <c r="Y24" s="138">
        <v>27</v>
      </c>
      <c r="Z24" s="138">
        <v>28</v>
      </c>
      <c r="AA24" s="138">
        <v>29</v>
      </c>
    </row>
    <row r="25" spans="1:27" s="26" customFormat="1" ht="60.75" customHeight="1" x14ac:dyDescent="0.25">
      <c r="A25" s="192">
        <v>1</v>
      </c>
      <c r="B25" s="193" t="s">
        <v>487</v>
      </c>
      <c r="C25" s="193" t="s">
        <v>487</v>
      </c>
      <c r="D25" s="193" t="s">
        <v>487</v>
      </c>
      <c r="E25" s="193" t="s">
        <v>487</v>
      </c>
      <c r="F25" s="30">
        <v>0.4</v>
      </c>
      <c r="G25" s="30">
        <v>0.4</v>
      </c>
      <c r="H25" s="30">
        <v>0.4</v>
      </c>
      <c r="I25" s="30">
        <v>0.4</v>
      </c>
      <c r="J25" s="30" t="s">
        <v>294</v>
      </c>
      <c r="K25" s="30">
        <v>1</v>
      </c>
      <c r="L25" s="30">
        <v>1</v>
      </c>
      <c r="M25" s="30" t="s">
        <v>488</v>
      </c>
      <c r="N25" s="30" t="s">
        <v>489</v>
      </c>
      <c r="O25" s="30" t="s">
        <v>490</v>
      </c>
      <c r="P25" s="30" t="s">
        <v>490</v>
      </c>
      <c r="Q25" s="194">
        <v>2.75</v>
      </c>
      <c r="R25" s="194">
        <v>2.75</v>
      </c>
      <c r="S25" s="30">
        <v>2021</v>
      </c>
      <c r="T25" s="30" t="s">
        <v>294</v>
      </c>
      <c r="U25" s="30" t="s">
        <v>294</v>
      </c>
      <c r="V25" s="30" t="s">
        <v>491</v>
      </c>
      <c r="W25" s="30" t="s">
        <v>491</v>
      </c>
      <c r="X25" s="30" t="s">
        <v>492</v>
      </c>
      <c r="Y25" s="30" t="s">
        <v>492</v>
      </c>
      <c r="Z25" s="30" t="s">
        <v>492</v>
      </c>
      <c r="AA25" s="30" t="s">
        <v>492</v>
      </c>
    </row>
    <row r="26" spans="1:27" ht="47.25" x14ac:dyDescent="0.25">
      <c r="A26" s="192">
        <v>2</v>
      </c>
      <c r="B26" s="193" t="s">
        <v>493</v>
      </c>
      <c r="C26" s="193" t="s">
        <v>493</v>
      </c>
      <c r="D26" s="193" t="s">
        <v>493</v>
      </c>
      <c r="E26" s="193" t="s">
        <v>493</v>
      </c>
      <c r="F26" s="30">
        <v>0.4</v>
      </c>
      <c r="G26" s="30">
        <v>0.4</v>
      </c>
      <c r="H26" s="30">
        <v>0.4</v>
      </c>
      <c r="I26" s="30">
        <v>0.4</v>
      </c>
      <c r="J26" s="30" t="s">
        <v>294</v>
      </c>
      <c r="K26" s="30">
        <v>1</v>
      </c>
      <c r="L26" s="30">
        <v>1</v>
      </c>
      <c r="M26" s="30" t="s">
        <v>488</v>
      </c>
      <c r="N26" s="30" t="s">
        <v>489</v>
      </c>
      <c r="O26" s="30" t="s">
        <v>490</v>
      </c>
      <c r="P26" s="30" t="s">
        <v>490</v>
      </c>
      <c r="Q26" s="194">
        <v>2.09</v>
      </c>
      <c r="R26" s="194">
        <v>2.09</v>
      </c>
      <c r="S26" s="30">
        <v>2021</v>
      </c>
      <c r="T26" s="30" t="s">
        <v>294</v>
      </c>
      <c r="U26" s="30" t="s">
        <v>294</v>
      </c>
      <c r="V26" s="30" t="s">
        <v>491</v>
      </c>
      <c r="W26" s="30" t="s">
        <v>491</v>
      </c>
      <c r="X26" s="30" t="s">
        <v>492</v>
      </c>
      <c r="Y26" s="30" t="s">
        <v>492</v>
      </c>
      <c r="Z26" s="30" t="s">
        <v>492</v>
      </c>
      <c r="AA26" s="30" t="s">
        <v>492</v>
      </c>
    </row>
    <row r="27" spans="1:27" s="31" customFormat="1" ht="47.25" x14ac:dyDescent="0.25">
      <c r="A27" s="192">
        <v>3</v>
      </c>
      <c r="B27" s="193" t="s">
        <v>494</v>
      </c>
      <c r="C27" s="193" t="s">
        <v>494</v>
      </c>
      <c r="D27" s="193" t="s">
        <v>494</v>
      </c>
      <c r="E27" s="193" t="s">
        <v>494</v>
      </c>
      <c r="F27" s="30">
        <v>0.4</v>
      </c>
      <c r="G27" s="30">
        <v>0.4</v>
      </c>
      <c r="H27" s="30">
        <v>0.4</v>
      </c>
      <c r="I27" s="30">
        <v>0.4</v>
      </c>
      <c r="J27" s="30" t="s">
        <v>294</v>
      </c>
      <c r="K27" s="30">
        <v>1</v>
      </c>
      <c r="L27" s="30">
        <v>1</v>
      </c>
      <c r="M27" s="30" t="s">
        <v>488</v>
      </c>
      <c r="N27" s="30" t="s">
        <v>489</v>
      </c>
      <c r="O27" s="30" t="s">
        <v>490</v>
      </c>
      <c r="P27" s="30" t="s">
        <v>490</v>
      </c>
      <c r="Q27" s="194">
        <v>0.69</v>
      </c>
      <c r="R27" s="194">
        <v>0.69</v>
      </c>
      <c r="S27" s="30">
        <v>2021</v>
      </c>
      <c r="T27" s="30" t="s">
        <v>294</v>
      </c>
      <c r="U27" s="30" t="s">
        <v>294</v>
      </c>
      <c r="V27" s="30" t="s">
        <v>491</v>
      </c>
      <c r="W27" s="30" t="s">
        <v>491</v>
      </c>
      <c r="X27" s="30" t="s">
        <v>492</v>
      </c>
      <c r="Y27" s="30" t="s">
        <v>492</v>
      </c>
      <c r="Z27" s="30" t="s">
        <v>492</v>
      </c>
      <c r="AA27" s="30" t="s">
        <v>492</v>
      </c>
    </row>
    <row r="28" spans="1:27" s="31" customFormat="1" ht="47.25" x14ac:dyDescent="0.25">
      <c r="A28" s="192">
        <v>4</v>
      </c>
      <c r="B28" s="193" t="s">
        <v>495</v>
      </c>
      <c r="C28" s="193" t="s">
        <v>495</v>
      </c>
      <c r="D28" s="193" t="s">
        <v>495</v>
      </c>
      <c r="E28" s="193" t="s">
        <v>495</v>
      </c>
      <c r="F28" s="30">
        <v>0.4</v>
      </c>
      <c r="G28" s="30">
        <v>0.4</v>
      </c>
      <c r="H28" s="30">
        <v>0.4</v>
      </c>
      <c r="I28" s="30">
        <v>0.4</v>
      </c>
      <c r="J28" s="30" t="s">
        <v>294</v>
      </c>
      <c r="K28" s="30">
        <v>1</v>
      </c>
      <c r="L28" s="30">
        <v>1</v>
      </c>
      <c r="M28" s="30" t="s">
        <v>488</v>
      </c>
      <c r="N28" s="30" t="s">
        <v>489</v>
      </c>
      <c r="O28" s="30" t="s">
        <v>490</v>
      </c>
      <c r="P28" s="30" t="s">
        <v>490</v>
      </c>
      <c r="Q28" s="194">
        <v>0.45</v>
      </c>
      <c r="R28" s="194">
        <v>0.45</v>
      </c>
      <c r="S28" s="30">
        <v>2021</v>
      </c>
      <c r="T28" s="30" t="s">
        <v>294</v>
      </c>
      <c r="U28" s="30" t="s">
        <v>294</v>
      </c>
      <c r="V28" s="30" t="s">
        <v>491</v>
      </c>
      <c r="W28" s="30" t="s">
        <v>491</v>
      </c>
      <c r="X28" s="30" t="s">
        <v>492</v>
      </c>
      <c r="Y28" s="30" t="s">
        <v>492</v>
      </c>
      <c r="Z28" s="30" t="s">
        <v>492</v>
      </c>
      <c r="AA28" s="30" t="s">
        <v>492</v>
      </c>
    </row>
    <row r="29" spans="1:27" ht="47.25" x14ac:dyDescent="0.25">
      <c r="A29" s="192">
        <v>5</v>
      </c>
      <c r="B29" s="193" t="s">
        <v>496</v>
      </c>
      <c r="C29" s="193" t="s">
        <v>496</v>
      </c>
      <c r="D29" s="193" t="s">
        <v>496</v>
      </c>
      <c r="E29" s="193" t="s">
        <v>496</v>
      </c>
      <c r="F29" s="30">
        <v>0.4</v>
      </c>
      <c r="G29" s="30">
        <v>0.4</v>
      </c>
      <c r="H29" s="30">
        <v>0.4</v>
      </c>
      <c r="I29" s="30">
        <v>0.4</v>
      </c>
      <c r="J29" s="30" t="s">
        <v>294</v>
      </c>
      <c r="K29" s="30">
        <v>1</v>
      </c>
      <c r="L29" s="30">
        <v>1</v>
      </c>
      <c r="M29" s="30" t="s">
        <v>488</v>
      </c>
      <c r="N29" s="30" t="s">
        <v>489</v>
      </c>
      <c r="O29" s="30" t="s">
        <v>490</v>
      </c>
      <c r="P29" s="30" t="s">
        <v>490</v>
      </c>
      <c r="Q29" s="194">
        <v>2.82</v>
      </c>
      <c r="R29" s="194">
        <v>2.82</v>
      </c>
      <c r="S29" s="30">
        <v>2021</v>
      </c>
      <c r="T29" s="30" t="s">
        <v>294</v>
      </c>
      <c r="U29" s="30" t="s">
        <v>294</v>
      </c>
      <c r="V29" s="30" t="s">
        <v>491</v>
      </c>
      <c r="W29" s="30" t="s">
        <v>491</v>
      </c>
      <c r="X29" s="30" t="s">
        <v>492</v>
      </c>
      <c r="Y29" s="30" t="s">
        <v>492</v>
      </c>
      <c r="Z29" s="30" t="s">
        <v>492</v>
      </c>
      <c r="AA29" s="30" t="s">
        <v>492</v>
      </c>
    </row>
    <row r="30" spans="1:27" ht="47.25" x14ac:dyDescent="0.25">
      <c r="A30" s="192">
        <v>6</v>
      </c>
      <c r="B30" s="193" t="s">
        <v>497</v>
      </c>
      <c r="C30" s="193" t="s">
        <v>497</v>
      </c>
      <c r="D30" s="193" t="s">
        <v>497</v>
      </c>
      <c r="E30" s="193" t="s">
        <v>497</v>
      </c>
      <c r="F30" s="30">
        <v>0.4</v>
      </c>
      <c r="G30" s="30">
        <v>0.4</v>
      </c>
      <c r="H30" s="30">
        <v>0.4</v>
      </c>
      <c r="I30" s="30">
        <v>0.4</v>
      </c>
      <c r="J30" s="30" t="s">
        <v>294</v>
      </c>
      <c r="K30" s="30">
        <v>1</v>
      </c>
      <c r="L30" s="30">
        <v>1</v>
      </c>
      <c r="M30" s="30" t="s">
        <v>488</v>
      </c>
      <c r="N30" s="30" t="s">
        <v>489</v>
      </c>
      <c r="O30" s="30" t="s">
        <v>490</v>
      </c>
      <c r="P30" s="30" t="s">
        <v>490</v>
      </c>
      <c r="Q30" s="194">
        <v>1.57</v>
      </c>
      <c r="R30" s="194">
        <v>1.57</v>
      </c>
      <c r="S30" s="30">
        <v>2021</v>
      </c>
      <c r="T30" s="30" t="s">
        <v>294</v>
      </c>
      <c r="U30" s="30" t="s">
        <v>294</v>
      </c>
      <c r="V30" s="30" t="s">
        <v>491</v>
      </c>
      <c r="W30" s="30" t="s">
        <v>491</v>
      </c>
      <c r="X30" s="30" t="s">
        <v>492</v>
      </c>
      <c r="Y30" s="30" t="s">
        <v>492</v>
      </c>
      <c r="Z30" s="30" t="s">
        <v>492</v>
      </c>
      <c r="AA30" s="30" t="s">
        <v>492</v>
      </c>
    </row>
    <row r="31" spans="1:27" ht="47.25" x14ac:dyDescent="0.25">
      <c r="A31" s="192">
        <v>7</v>
      </c>
      <c r="B31" s="193" t="s">
        <v>498</v>
      </c>
      <c r="C31" s="193" t="s">
        <v>498</v>
      </c>
      <c r="D31" s="193" t="s">
        <v>498</v>
      </c>
      <c r="E31" s="193" t="s">
        <v>498</v>
      </c>
      <c r="F31" s="30">
        <v>0.4</v>
      </c>
      <c r="G31" s="30">
        <v>0.4</v>
      </c>
      <c r="H31" s="30">
        <v>0.4</v>
      </c>
      <c r="I31" s="30">
        <v>0.4</v>
      </c>
      <c r="J31" s="30" t="s">
        <v>294</v>
      </c>
      <c r="K31" s="30">
        <v>1</v>
      </c>
      <c r="L31" s="30">
        <v>1</v>
      </c>
      <c r="M31" s="30" t="s">
        <v>488</v>
      </c>
      <c r="N31" s="30" t="s">
        <v>489</v>
      </c>
      <c r="O31" s="30" t="s">
        <v>490</v>
      </c>
      <c r="P31" s="30" t="s">
        <v>490</v>
      </c>
      <c r="Q31" s="194">
        <v>2.57</v>
      </c>
      <c r="R31" s="194">
        <v>2.57</v>
      </c>
      <c r="S31" s="30">
        <v>2021</v>
      </c>
      <c r="T31" s="30" t="s">
        <v>294</v>
      </c>
      <c r="U31" s="30" t="s">
        <v>294</v>
      </c>
      <c r="V31" s="30" t="s">
        <v>491</v>
      </c>
      <c r="W31" s="30" t="s">
        <v>491</v>
      </c>
      <c r="X31" s="30" t="s">
        <v>492</v>
      </c>
      <c r="Y31" s="30" t="s">
        <v>492</v>
      </c>
      <c r="Z31" s="30" t="s">
        <v>492</v>
      </c>
      <c r="AA31" s="30" t="s">
        <v>492</v>
      </c>
    </row>
    <row r="32" spans="1:27" ht="47.25" x14ac:dyDescent="0.25">
      <c r="A32" s="192">
        <v>8</v>
      </c>
      <c r="B32" s="193" t="s">
        <v>499</v>
      </c>
      <c r="C32" s="193" t="s">
        <v>499</v>
      </c>
      <c r="D32" s="193" t="s">
        <v>499</v>
      </c>
      <c r="E32" s="193" t="s">
        <v>499</v>
      </c>
      <c r="F32" s="30">
        <v>0.4</v>
      </c>
      <c r="G32" s="30">
        <v>0.4</v>
      </c>
      <c r="H32" s="30">
        <v>0.4</v>
      </c>
      <c r="I32" s="30">
        <v>0.4</v>
      </c>
      <c r="J32" s="30" t="s">
        <v>294</v>
      </c>
      <c r="K32" s="30">
        <v>1</v>
      </c>
      <c r="L32" s="30">
        <v>1</v>
      </c>
      <c r="M32" s="30" t="s">
        <v>488</v>
      </c>
      <c r="N32" s="30" t="s">
        <v>489</v>
      </c>
      <c r="O32" s="30" t="s">
        <v>490</v>
      </c>
      <c r="P32" s="30" t="s">
        <v>490</v>
      </c>
      <c r="Q32" s="194">
        <v>1.68</v>
      </c>
      <c r="R32" s="194">
        <v>1.68</v>
      </c>
      <c r="S32" s="30">
        <v>2021</v>
      </c>
      <c r="T32" s="30" t="s">
        <v>294</v>
      </c>
      <c r="U32" s="30" t="s">
        <v>294</v>
      </c>
      <c r="V32" s="30" t="s">
        <v>491</v>
      </c>
      <c r="W32" s="30" t="s">
        <v>491</v>
      </c>
      <c r="X32" s="30" t="s">
        <v>492</v>
      </c>
      <c r="Y32" s="30" t="s">
        <v>492</v>
      </c>
      <c r="Z32" s="30" t="s">
        <v>492</v>
      </c>
      <c r="AA32" s="30" t="s">
        <v>492</v>
      </c>
    </row>
    <row r="33" spans="1:27" ht="47.25" x14ac:dyDescent="0.25">
      <c r="A33" s="192">
        <v>9</v>
      </c>
      <c r="B33" s="193" t="s">
        <v>500</v>
      </c>
      <c r="C33" s="193" t="s">
        <v>500</v>
      </c>
      <c r="D33" s="193" t="s">
        <v>500</v>
      </c>
      <c r="E33" s="193" t="s">
        <v>500</v>
      </c>
      <c r="F33" s="30">
        <v>0.4</v>
      </c>
      <c r="G33" s="30">
        <v>0.4</v>
      </c>
      <c r="H33" s="30">
        <v>0.4</v>
      </c>
      <c r="I33" s="30">
        <v>0.4</v>
      </c>
      <c r="J33" s="30" t="s">
        <v>294</v>
      </c>
      <c r="K33" s="30">
        <v>1</v>
      </c>
      <c r="L33" s="30">
        <v>1</v>
      </c>
      <c r="M33" s="30" t="s">
        <v>488</v>
      </c>
      <c r="N33" s="30" t="s">
        <v>489</v>
      </c>
      <c r="O33" s="30" t="s">
        <v>490</v>
      </c>
      <c r="P33" s="30" t="s">
        <v>490</v>
      </c>
      <c r="Q33" s="194">
        <v>1.66</v>
      </c>
      <c r="R33" s="194">
        <v>1.66</v>
      </c>
      <c r="S33" s="30">
        <v>2021</v>
      </c>
      <c r="T33" s="30" t="s">
        <v>294</v>
      </c>
      <c r="U33" s="30" t="s">
        <v>294</v>
      </c>
      <c r="V33" s="30" t="s">
        <v>491</v>
      </c>
      <c r="W33" s="30" t="s">
        <v>491</v>
      </c>
      <c r="X33" s="30" t="s">
        <v>492</v>
      </c>
      <c r="Y33" s="30" t="s">
        <v>492</v>
      </c>
      <c r="Z33" s="30" t="s">
        <v>492</v>
      </c>
      <c r="AA33" s="30" t="s">
        <v>492</v>
      </c>
    </row>
    <row r="34" spans="1:27" ht="47.25" x14ac:dyDescent="0.25">
      <c r="A34" s="192">
        <v>10</v>
      </c>
      <c r="B34" s="193" t="s">
        <v>501</v>
      </c>
      <c r="C34" s="193" t="s">
        <v>501</v>
      </c>
      <c r="D34" s="193" t="s">
        <v>501</v>
      </c>
      <c r="E34" s="193" t="s">
        <v>501</v>
      </c>
      <c r="F34" s="30">
        <v>0.4</v>
      </c>
      <c r="G34" s="30">
        <v>0.4</v>
      </c>
      <c r="H34" s="30">
        <v>0.4</v>
      </c>
      <c r="I34" s="30">
        <v>0.4</v>
      </c>
      <c r="J34" s="30" t="s">
        <v>294</v>
      </c>
      <c r="K34" s="30">
        <v>1</v>
      </c>
      <c r="L34" s="30">
        <v>1</v>
      </c>
      <c r="M34" s="30" t="s">
        <v>488</v>
      </c>
      <c r="N34" s="30" t="s">
        <v>489</v>
      </c>
      <c r="O34" s="30" t="s">
        <v>490</v>
      </c>
      <c r="P34" s="30" t="s">
        <v>490</v>
      </c>
      <c r="Q34" s="194">
        <v>1.27</v>
      </c>
      <c r="R34" s="194">
        <v>1.27</v>
      </c>
      <c r="S34" s="30">
        <v>2021</v>
      </c>
      <c r="T34" s="30" t="s">
        <v>294</v>
      </c>
      <c r="U34" s="30" t="s">
        <v>294</v>
      </c>
      <c r="V34" s="30" t="s">
        <v>491</v>
      </c>
      <c r="W34" s="30" t="s">
        <v>491</v>
      </c>
      <c r="X34" s="30" t="s">
        <v>492</v>
      </c>
      <c r="Y34" s="30" t="s">
        <v>492</v>
      </c>
      <c r="Z34" s="30" t="s">
        <v>492</v>
      </c>
      <c r="AA34" s="30" t="s">
        <v>492</v>
      </c>
    </row>
    <row r="35" spans="1:27" ht="47.25" x14ac:dyDescent="0.25">
      <c r="A35" s="192">
        <v>11</v>
      </c>
      <c r="B35" s="193" t="s">
        <v>502</v>
      </c>
      <c r="C35" s="193" t="s">
        <v>502</v>
      </c>
      <c r="D35" s="193" t="s">
        <v>502</v>
      </c>
      <c r="E35" s="193" t="s">
        <v>502</v>
      </c>
      <c r="F35" s="30">
        <v>0.4</v>
      </c>
      <c r="G35" s="30">
        <v>0.4</v>
      </c>
      <c r="H35" s="30">
        <v>0.4</v>
      </c>
      <c r="I35" s="30">
        <v>0.4</v>
      </c>
      <c r="J35" s="30" t="s">
        <v>294</v>
      </c>
      <c r="K35" s="30">
        <v>1</v>
      </c>
      <c r="L35" s="30">
        <v>1</v>
      </c>
      <c r="M35" s="30" t="s">
        <v>488</v>
      </c>
      <c r="N35" s="30" t="s">
        <v>489</v>
      </c>
      <c r="O35" s="30" t="s">
        <v>490</v>
      </c>
      <c r="P35" s="30" t="s">
        <v>490</v>
      </c>
      <c r="Q35" s="194">
        <v>1.6</v>
      </c>
      <c r="R35" s="194">
        <v>1.6</v>
      </c>
      <c r="S35" s="30">
        <v>2021</v>
      </c>
      <c r="T35" s="30" t="s">
        <v>294</v>
      </c>
      <c r="U35" s="30" t="s">
        <v>294</v>
      </c>
      <c r="V35" s="30" t="s">
        <v>491</v>
      </c>
      <c r="W35" s="30" t="s">
        <v>491</v>
      </c>
      <c r="X35" s="30" t="s">
        <v>492</v>
      </c>
      <c r="Y35" s="30" t="s">
        <v>492</v>
      </c>
      <c r="Z35" s="30" t="s">
        <v>492</v>
      </c>
      <c r="AA35" s="30" t="s">
        <v>492</v>
      </c>
    </row>
    <row r="36" spans="1:27" ht="47.25" x14ac:dyDescent="0.25">
      <c r="A36" s="192">
        <v>12</v>
      </c>
      <c r="B36" s="193" t="s">
        <v>503</v>
      </c>
      <c r="C36" s="193" t="s">
        <v>503</v>
      </c>
      <c r="D36" s="193" t="s">
        <v>503</v>
      </c>
      <c r="E36" s="193" t="s">
        <v>503</v>
      </c>
      <c r="F36" s="30">
        <v>0.4</v>
      </c>
      <c r="G36" s="30">
        <v>0.4</v>
      </c>
      <c r="H36" s="30">
        <v>0.4</v>
      </c>
      <c r="I36" s="30">
        <v>0.4</v>
      </c>
      <c r="J36" s="30" t="s">
        <v>294</v>
      </c>
      <c r="K36" s="30">
        <v>1</v>
      </c>
      <c r="L36" s="30">
        <v>1</v>
      </c>
      <c r="M36" s="30" t="s">
        <v>488</v>
      </c>
      <c r="N36" s="30" t="s">
        <v>489</v>
      </c>
      <c r="O36" s="30" t="s">
        <v>490</v>
      </c>
      <c r="P36" s="30" t="s">
        <v>490</v>
      </c>
      <c r="Q36" s="194">
        <v>1.5</v>
      </c>
      <c r="R36" s="194">
        <v>1.5</v>
      </c>
      <c r="S36" s="30">
        <v>2021</v>
      </c>
      <c r="T36" s="30" t="s">
        <v>294</v>
      </c>
      <c r="U36" s="30" t="s">
        <v>294</v>
      </c>
      <c r="V36" s="30" t="s">
        <v>491</v>
      </c>
      <c r="W36" s="30" t="s">
        <v>491</v>
      </c>
      <c r="X36" s="30" t="s">
        <v>492</v>
      </c>
      <c r="Y36" s="30" t="s">
        <v>492</v>
      </c>
      <c r="Z36" s="30" t="s">
        <v>492</v>
      </c>
      <c r="AA36" s="30" t="s">
        <v>492</v>
      </c>
    </row>
    <row r="37" spans="1:27" ht="47.25" x14ac:dyDescent="0.25">
      <c r="A37" s="192">
        <v>13</v>
      </c>
      <c r="B37" s="193" t="s">
        <v>504</v>
      </c>
      <c r="C37" s="193" t="s">
        <v>504</v>
      </c>
      <c r="D37" s="193" t="s">
        <v>504</v>
      </c>
      <c r="E37" s="193" t="s">
        <v>504</v>
      </c>
      <c r="F37" s="30">
        <v>0.4</v>
      </c>
      <c r="G37" s="30">
        <v>0.4</v>
      </c>
      <c r="H37" s="30">
        <v>0.4</v>
      </c>
      <c r="I37" s="30">
        <v>0.4</v>
      </c>
      <c r="J37" s="30" t="s">
        <v>294</v>
      </c>
      <c r="K37" s="30">
        <v>1</v>
      </c>
      <c r="L37" s="30">
        <v>1</v>
      </c>
      <c r="M37" s="30" t="s">
        <v>488</v>
      </c>
      <c r="N37" s="30" t="s">
        <v>489</v>
      </c>
      <c r="O37" s="30" t="s">
        <v>490</v>
      </c>
      <c r="P37" s="30" t="s">
        <v>490</v>
      </c>
      <c r="Q37" s="194">
        <v>2.8</v>
      </c>
      <c r="R37" s="194">
        <v>2.8</v>
      </c>
      <c r="S37" s="30">
        <v>2021</v>
      </c>
      <c r="T37" s="30" t="s">
        <v>294</v>
      </c>
      <c r="U37" s="30" t="s">
        <v>294</v>
      </c>
      <c r="V37" s="30" t="s">
        <v>491</v>
      </c>
      <c r="W37" s="30" t="s">
        <v>491</v>
      </c>
      <c r="X37" s="30" t="s">
        <v>492</v>
      </c>
      <c r="Y37" s="30" t="s">
        <v>492</v>
      </c>
      <c r="Z37" s="30" t="s">
        <v>492</v>
      </c>
      <c r="AA37" s="30" t="s">
        <v>492</v>
      </c>
    </row>
    <row r="38" spans="1:27" ht="47.25" x14ac:dyDescent="0.25">
      <c r="A38" s="192">
        <v>14</v>
      </c>
      <c r="B38" s="193" t="s">
        <v>505</v>
      </c>
      <c r="C38" s="193" t="s">
        <v>505</v>
      </c>
      <c r="D38" s="193" t="s">
        <v>505</v>
      </c>
      <c r="E38" s="193" t="s">
        <v>505</v>
      </c>
      <c r="F38" s="30">
        <v>0.4</v>
      </c>
      <c r="G38" s="30">
        <v>0.4</v>
      </c>
      <c r="H38" s="30">
        <v>0.4</v>
      </c>
      <c r="I38" s="30">
        <v>0.4</v>
      </c>
      <c r="J38" s="30" t="s">
        <v>294</v>
      </c>
      <c r="K38" s="30">
        <v>1</v>
      </c>
      <c r="L38" s="30">
        <v>1</v>
      </c>
      <c r="M38" s="30" t="s">
        <v>488</v>
      </c>
      <c r="N38" s="30" t="s">
        <v>489</v>
      </c>
      <c r="O38" s="30" t="s">
        <v>490</v>
      </c>
      <c r="P38" s="30" t="s">
        <v>490</v>
      </c>
      <c r="Q38" s="194">
        <v>1.87</v>
      </c>
      <c r="R38" s="194">
        <v>1.87</v>
      </c>
      <c r="S38" s="30">
        <v>2021</v>
      </c>
      <c r="T38" s="30" t="s">
        <v>294</v>
      </c>
      <c r="U38" s="30" t="s">
        <v>294</v>
      </c>
      <c r="V38" s="30" t="s">
        <v>491</v>
      </c>
      <c r="W38" s="30" t="s">
        <v>491</v>
      </c>
      <c r="X38" s="30" t="s">
        <v>492</v>
      </c>
      <c r="Y38" s="30" t="s">
        <v>492</v>
      </c>
      <c r="Z38" s="30" t="s">
        <v>492</v>
      </c>
      <c r="AA38" s="30" t="s">
        <v>492</v>
      </c>
    </row>
    <row r="39" spans="1:27" ht="47.25" x14ac:dyDescent="0.25">
      <c r="A39" s="192">
        <v>15</v>
      </c>
      <c r="B39" s="193" t="s">
        <v>506</v>
      </c>
      <c r="C39" s="193" t="s">
        <v>506</v>
      </c>
      <c r="D39" s="193" t="s">
        <v>506</v>
      </c>
      <c r="E39" s="193" t="s">
        <v>506</v>
      </c>
      <c r="F39" s="30">
        <v>0.4</v>
      </c>
      <c r="G39" s="30">
        <v>0.4</v>
      </c>
      <c r="H39" s="30">
        <v>0.4</v>
      </c>
      <c r="I39" s="30">
        <v>0.4</v>
      </c>
      <c r="J39" s="30" t="s">
        <v>294</v>
      </c>
      <c r="K39" s="30">
        <v>1</v>
      </c>
      <c r="L39" s="30">
        <v>1</v>
      </c>
      <c r="M39" s="30" t="s">
        <v>488</v>
      </c>
      <c r="N39" s="30" t="s">
        <v>489</v>
      </c>
      <c r="O39" s="30" t="s">
        <v>490</v>
      </c>
      <c r="P39" s="30" t="s">
        <v>490</v>
      </c>
      <c r="Q39" s="194">
        <v>3.173</v>
      </c>
      <c r="R39" s="194">
        <v>3.173</v>
      </c>
      <c r="S39" s="30">
        <v>2021</v>
      </c>
      <c r="T39" s="30" t="s">
        <v>294</v>
      </c>
      <c r="U39" s="30" t="s">
        <v>294</v>
      </c>
      <c r="V39" s="30" t="s">
        <v>491</v>
      </c>
      <c r="W39" s="30" t="s">
        <v>491</v>
      </c>
      <c r="X39" s="30" t="s">
        <v>492</v>
      </c>
      <c r="Y39" s="30" t="s">
        <v>492</v>
      </c>
      <c r="Z39" s="30" t="s">
        <v>492</v>
      </c>
      <c r="AA39" s="30" t="s">
        <v>492</v>
      </c>
    </row>
    <row r="40" spans="1:27" ht="47.25" x14ac:dyDescent="0.25">
      <c r="A40" s="192">
        <v>16</v>
      </c>
      <c r="B40" s="193" t="s">
        <v>507</v>
      </c>
      <c r="C40" s="193" t="s">
        <v>507</v>
      </c>
      <c r="D40" s="193" t="s">
        <v>507</v>
      </c>
      <c r="E40" s="193" t="s">
        <v>507</v>
      </c>
      <c r="F40" s="30">
        <v>0.4</v>
      </c>
      <c r="G40" s="30">
        <v>0.4</v>
      </c>
      <c r="H40" s="30">
        <v>0.4</v>
      </c>
      <c r="I40" s="30">
        <v>0.4</v>
      </c>
      <c r="J40" s="30" t="s">
        <v>294</v>
      </c>
      <c r="K40" s="30">
        <v>1</v>
      </c>
      <c r="L40" s="30">
        <v>1</v>
      </c>
      <c r="M40" s="30" t="s">
        <v>488</v>
      </c>
      <c r="N40" s="30" t="s">
        <v>489</v>
      </c>
      <c r="O40" s="30" t="s">
        <v>490</v>
      </c>
      <c r="P40" s="30" t="s">
        <v>490</v>
      </c>
      <c r="Q40" s="194">
        <v>2.4870000000000001</v>
      </c>
      <c r="R40" s="194">
        <v>2.4870000000000001</v>
      </c>
      <c r="S40" s="30">
        <v>2021</v>
      </c>
      <c r="T40" s="30" t="s">
        <v>294</v>
      </c>
      <c r="U40" s="30" t="s">
        <v>294</v>
      </c>
      <c r="V40" s="30" t="s">
        <v>491</v>
      </c>
      <c r="W40" s="30" t="s">
        <v>491</v>
      </c>
      <c r="X40" s="30" t="s">
        <v>492</v>
      </c>
      <c r="Y40" s="30" t="s">
        <v>492</v>
      </c>
      <c r="Z40" s="30" t="s">
        <v>492</v>
      </c>
      <c r="AA40" s="30" t="s">
        <v>492</v>
      </c>
    </row>
    <row r="41" spans="1:27" ht="47.25" x14ac:dyDescent="0.25">
      <c r="A41" s="192">
        <v>17</v>
      </c>
      <c r="B41" s="193" t="s">
        <v>508</v>
      </c>
      <c r="C41" s="193" t="s">
        <v>508</v>
      </c>
      <c r="D41" s="193" t="s">
        <v>508</v>
      </c>
      <c r="E41" s="193" t="s">
        <v>508</v>
      </c>
      <c r="F41" s="30">
        <v>0.4</v>
      </c>
      <c r="G41" s="30">
        <v>0.4</v>
      </c>
      <c r="H41" s="30">
        <v>0.4</v>
      </c>
      <c r="I41" s="30">
        <v>0.4</v>
      </c>
      <c r="J41" s="30" t="s">
        <v>294</v>
      </c>
      <c r="K41" s="30">
        <v>1</v>
      </c>
      <c r="L41" s="30">
        <v>1</v>
      </c>
      <c r="M41" s="30" t="s">
        <v>488</v>
      </c>
      <c r="N41" s="30" t="s">
        <v>489</v>
      </c>
      <c r="O41" s="30" t="s">
        <v>490</v>
      </c>
      <c r="P41" s="30" t="s">
        <v>490</v>
      </c>
      <c r="Q41" s="194">
        <v>1.6950000000000001</v>
      </c>
      <c r="R41" s="194">
        <v>1.6950000000000001</v>
      </c>
      <c r="S41" s="30">
        <v>2021</v>
      </c>
      <c r="T41" s="30" t="s">
        <v>294</v>
      </c>
      <c r="U41" s="30" t="s">
        <v>294</v>
      </c>
      <c r="V41" s="30" t="s">
        <v>491</v>
      </c>
      <c r="W41" s="30" t="s">
        <v>491</v>
      </c>
      <c r="X41" s="30" t="s">
        <v>492</v>
      </c>
      <c r="Y41" s="30" t="s">
        <v>492</v>
      </c>
      <c r="Z41" s="30" t="s">
        <v>492</v>
      </c>
      <c r="AA41" s="30" t="s">
        <v>492</v>
      </c>
    </row>
    <row r="42" spans="1:27" ht="47.25" x14ac:dyDescent="0.25">
      <c r="A42" s="192">
        <v>18</v>
      </c>
      <c r="B42" s="193" t="s">
        <v>509</v>
      </c>
      <c r="C42" s="193" t="s">
        <v>509</v>
      </c>
      <c r="D42" s="193" t="s">
        <v>509</v>
      </c>
      <c r="E42" s="193" t="s">
        <v>509</v>
      </c>
      <c r="F42" s="30">
        <v>0.4</v>
      </c>
      <c r="G42" s="30">
        <v>0.4</v>
      </c>
      <c r="H42" s="30">
        <v>0.4</v>
      </c>
      <c r="I42" s="30">
        <v>0.4</v>
      </c>
      <c r="J42" s="30" t="s">
        <v>294</v>
      </c>
      <c r="K42" s="30">
        <v>1</v>
      </c>
      <c r="L42" s="30">
        <v>1</v>
      </c>
      <c r="M42" s="30" t="s">
        <v>488</v>
      </c>
      <c r="N42" s="30" t="s">
        <v>489</v>
      </c>
      <c r="O42" s="30" t="s">
        <v>490</v>
      </c>
      <c r="P42" s="30" t="s">
        <v>490</v>
      </c>
      <c r="Q42" s="194">
        <v>1.32</v>
      </c>
      <c r="R42" s="194">
        <v>1.32</v>
      </c>
      <c r="S42" s="30">
        <v>2021</v>
      </c>
      <c r="T42" s="30" t="s">
        <v>294</v>
      </c>
      <c r="U42" s="30" t="s">
        <v>294</v>
      </c>
      <c r="V42" s="30" t="s">
        <v>491</v>
      </c>
      <c r="W42" s="30" t="s">
        <v>491</v>
      </c>
      <c r="X42" s="30" t="s">
        <v>492</v>
      </c>
      <c r="Y42" s="30" t="s">
        <v>492</v>
      </c>
      <c r="Z42" s="30" t="s">
        <v>492</v>
      </c>
      <c r="AA42" s="30" t="s">
        <v>492</v>
      </c>
    </row>
    <row r="43" spans="1:27" ht="47.25" x14ac:dyDescent="0.25">
      <c r="A43" s="192">
        <v>19</v>
      </c>
      <c r="B43" s="193" t="s">
        <v>510</v>
      </c>
      <c r="C43" s="193" t="s">
        <v>510</v>
      </c>
      <c r="D43" s="193" t="s">
        <v>510</v>
      </c>
      <c r="E43" s="193" t="s">
        <v>510</v>
      </c>
      <c r="F43" s="30">
        <v>0.4</v>
      </c>
      <c r="G43" s="30">
        <v>0.4</v>
      </c>
      <c r="H43" s="30">
        <v>0.4</v>
      </c>
      <c r="I43" s="30">
        <v>0.4</v>
      </c>
      <c r="J43" s="30" t="s">
        <v>294</v>
      </c>
      <c r="K43" s="30">
        <v>1</v>
      </c>
      <c r="L43" s="30">
        <v>1</v>
      </c>
      <c r="M43" s="30" t="s">
        <v>488</v>
      </c>
      <c r="N43" s="30" t="s">
        <v>489</v>
      </c>
      <c r="O43" s="30" t="s">
        <v>490</v>
      </c>
      <c r="P43" s="30" t="s">
        <v>490</v>
      </c>
      <c r="Q43" s="194">
        <v>1.69</v>
      </c>
      <c r="R43" s="194">
        <v>1.69</v>
      </c>
      <c r="S43" s="30">
        <v>2021</v>
      </c>
      <c r="T43" s="30" t="s">
        <v>294</v>
      </c>
      <c r="U43" s="30" t="s">
        <v>294</v>
      </c>
      <c r="V43" s="30" t="s">
        <v>491</v>
      </c>
      <c r="W43" s="30" t="s">
        <v>491</v>
      </c>
      <c r="X43" s="30" t="s">
        <v>492</v>
      </c>
      <c r="Y43" s="30" t="s">
        <v>492</v>
      </c>
      <c r="Z43" s="30" t="s">
        <v>492</v>
      </c>
      <c r="AA43" s="30" t="s">
        <v>492</v>
      </c>
    </row>
    <row r="44" spans="1:27" ht="47.25" x14ac:dyDescent="0.25">
      <c r="A44" s="192">
        <v>20</v>
      </c>
      <c r="B44" s="193" t="s">
        <v>511</v>
      </c>
      <c r="C44" s="193" t="s">
        <v>511</v>
      </c>
      <c r="D44" s="193" t="s">
        <v>511</v>
      </c>
      <c r="E44" s="193" t="s">
        <v>511</v>
      </c>
      <c r="F44" s="30">
        <v>0.4</v>
      </c>
      <c r="G44" s="30">
        <v>0.4</v>
      </c>
      <c r="H44" s="30">
        <v>0.4</v>
      </c>
      <c r="I44" s="30">
        <v>0.4</v>
      </c>
      <c r="J44" s="30" t="s">
        <v>294</v>
      </c>
      <c r="K44" s="30">
        <v>1</v>
      </c>
      <c r="L44" s="30">
        <v>1</v>
      </c>
      <c r="M44" s="30" t="s">
        <v>488</v>
      </c>
      <c r="N44" s="30" t="s">
        <v>489</v>
      </c>
      <c r="O44" s="30" t="s">
        <v>490</v>
      </c>
      <c r="P44" s="30" t="s">
        <v>490</v>
      </c>
      <c r="Q44" s="194">
        <v>1.68</v>
      </c>
      <c r="R44" s="194">
        <v>1.68</v>
      </c>
      <c r="S44" s="30">
        <v>2021</v>
      </c>
      <c r="T44" s="30" t="s">
        <v>294</v>
      </c>
      <c r="U44" s="30" t="s">
        <v>294</v>
      </c>
      <c r="V44" s="30" t="s">
        <v>491</v>
      </c>
      <c r="W44" s="30" t="s">
        <v>491</v>
      </c>
      <c r="X44" s="30" t="s">
        <v>492</v>
      </c>
      <c r="Y44" s="30" t="s">
        <v>492</v>
      </c>
      <c r="Z44" s="30" t="s">
        <v>492</v>
      </c>
      <c r="AA44" s="30" t="s">
        <v>492</v>
      </c>
    </row>
    <row r="45" spans="1:27" ht="47.25" x14ac:dyDescent="0.25">
      <c r="A45" s="192">
        <v>21</v>
      </c>
      <c r="B45" s="193" t="s">
        <v>512</v>
      </c>
      <c r="C45" s="193" t="s">
        <v>512</v>
      </c>
      <c r="D45" s="193" t="s">
        <v>512</v>
      </c>
      <c r="E45" s="193" t="s">
        <v>512</v>
      </c>
      <c r="F45" s="30">
        <v>0.4</v>
      </c>
      <c r="G45" s="30">
        <v>0.4</v>
      </c>
      <c r="H45" s="30">
        <v>0.4</v>
      </c>
      <c r="I45" s="30">
        <v>0.4</v>
      </c>
      <c r="J45" s="30" t="s">
        <v>294</v>
      </c>
      <c r="K45" s="30">
        <v>1</v>
      </c>
      <c r="L45" s="30">
        <v>1</v>
      </c>
      <c r="M45" s="30" t="s">
        <v>488</v>
      </c>
      <c r="N45" s="30" t="s">
        <v>489</v>
      </c>
      <c r="O45" s="30" t="s">
        <v>490</v>
      </c>
      <c r="P45" s="30" t="s">
        <v>490</v>
      </c>
      <c r="Q45" s="194">
        <v>1.8</v>
      </c>
      <c r="R45" s="194">
        <v>1.8</v>
      </c>
      <c r="S45" s="30">
        <v>2021</v>
      </c>
      <c r="T45" s="30" t="s">
        <v>294</v>
      </c>
      <c r="U45" s="30" t="s">
        <v>294</v>
      </c>
      <c r="V45" s="30" t="s">
        <v>491</v>
      </c>
      <c r="W45" s="30" t="s">
        <v>491</v>
      </c>
      <c r="X45" s="30" t="s">
        <v>492</v>
      </c>
      <c r="Y45" s="30" t="s">
        <v>492</v>
      </c>
      <c r="Z45" s="30" t="s">
        <v>492</v>
      </c>
      <c r="AA45" s="30" t="s">
        <v>492</v>
      </c>
    </row>
    <row r="46" spans="1:27" ht="47.25" x14ac:dyDescent="0.25">
      <c r="A46" s="192">
        <v>22</v>
      </c>
      <c r="B46" s="193" t="s">
        <v>513</v>
      </c>
      <c r="C46" s="193" t="s">
        <v>513</v>
      </c>
      <c r="D46" s="193" t="s">
        <v>513</v>
      </c>
      <c r="E46" s="193" t="s">
        <v>513</v>
      </c>
      <c r="F46" s="30">
        <v>0.4</v>
      </c>
      <c r="G46" s="30">
        <v>0.4</v>
      </c>
      <c r="H46" s="30">
        <v>0.4</v>
      </c>
      <c r="I46" s="30">
        <v>0.4</v>
      </c>
      <c r="J46" s="30" t="s">
        <v>294</v>
      </c>
      <c r="K46" s="30">
        <v>1</v>
      </c>
      <c r="L46" s="30">
        <v>1</v>
      </c>
      <c r="M46" s="30" t="s">
        <v>488</v>
      </c>
      <c r="N46" s="30" t="s">
        <v>489</v>
      </c>
      <c r="O46" s="30" t="s">
        <v>490</v>
      </c>
      <c r="P46" s="30" t="s">
        <v>490</v>
      </c>
      <c r="Q46" s="194">
        <v>3.4</v>
      </c>
      <c r="R46" s="194">
        <v>3.4</v>
      </c>
      <c r="S46" s="30">
        <v>2021</v>
      </c>
      <c r="T46" s="30" t="s">
        <v>294</v>
      </c>
      <c r="U46" s="30" t="s">
        <v>294</v>
      </c>
      <c r="V46" s="30" t="s">
        <v>491</v>
      </c>
      <c r="W46" s="30" t="s">
        <v>491</v>
      </c>
      <c r="X46" s="30" t="s">
        <v>492</v>
      </c>
      <c r="Y46" s="30" t="s">
        <v>492</v>
      </c>
      <c r="Z46" s="30" t="s">
        <v>492</v>
      </c>
      <c r="AA46" s="30" t="s">
        <v>492</v>
      </c>
    </row>
    <row r="47" spans="1:27" ht="47.25" x14ac:dyDescent="0.25">
      <c r="A47" s="192">
        <v>23</v>
      </c>
      <c r="B47" s="193" t="s">
        <v>514</v>
      </c>
      <c r="C47" s="193" t="s">
        <v>514</v>
      </c>
      <c r="D47" s="193" t="s">
        <v>514</v>
      </c>
      <c r="E47" s="193" t="s">
        <v>514</v>
      </c>
      <c r="F47" s="30">
        <v>0.4</v>
      </c>
      <c r="G47" s="30">
        <v>0.4</v>
      </c>
      <c r="H47" s="30">
        <v>0.4</v>
      </c>
      <c r="I47" s="30">
        <v>0.4</v>
      </c>
      <c r="J47" s="30" t="s">
        <v>294</v>
      </c>
      <c r="K47" s="30">
        <v>1</v>
      </c>
      <c r="L47" s="30">
        <v>1</v>
      </c>
      <c r="M47" s="30" t="s">
        <v>488</v>
      </c>
      <c r="N47" s="30" t="s">
        <v>489</v>
      </c>
      <c r="O47" s="30" t="s">
        <v>490</v>
      </c>
      <c r="P47" s="30" t="s">
        <v>490</v>
      </c>
      <c r="Q47" s="194">
        <v>1.575</v>
      </c>
      <c r="R47" s="194">
        <v>1.575</v>
      </c>
      <c r="S47" s="30">
        <v>2021</v>
      </c>
      <c r="T47" s="30" t="s">
        <v>294</v>
      </c>
      <c r="U47" s="30" t="s">
        <v>294</v>
      </c>
      <c r="V47" s="30" t="s">
        <v>491</v>
      </c>
      <c r="W47" s="30" t="s">
        <v>491</v>
      </c>
      <c r="X47" s="30" t="s">
        <v>492</v>
      </c>
      <c r="Y47" s="30" t="s">
        <v>492</v>
      </c>
      <c r="Z47" s="30" t="s">
        <v>492</v>
      </c>
      <c r="AA47" s="30" t="s">
        <v>492</v>
      </c>
    </row>
    <row r="48" spans="1:27" ht="47.25" x14ac:dyDescent="0.25">
      <c r="A48" s="192">
        <v>24</v>
      </c>
      <c r="B48" s="193" t="s">
        <v>515</v>
      </c>
      <c r="C48" s="193" t="s">
        <v>515</v>
      </c>
      <c r="D48" s="193" t="s">
        <v>515</v>
      </c>
      <c r="E48" s="193" t="s">
        <v>515</v>
      </c>
      <c r="F48" s="30">
        <v>0.4</v>
      </c>
      <c r="G48" s="30">
        <v>0.4</v>
      </c>
      <c r="H48" s="30">
        <v>0.4</v>
      </c>
      <c r="I48" s="30">
        <v>0.4</v>
      </c>
      <c r="J48" s="30" t="s">
        <v>294</v>
      </c>
      <c r="K48" s="30">
        <v>1</v>
      </c>
      <c r="L48" s="30">
        <v>1</v>
      </c>
      <c r="M48" s="30" t="s">
        <v>488</v>
      </c>
      <c r="N48" s="30" t="s">
        <v>489</v>
      </c>
      <c r="O48" s="30" t="s">
        <v>490</v>
      </c>
      <c r="P48" s="30" t="s">
        <v>490</v>
      </c>
      <c r="Q48" s="194">
        <v>2.5</v>
      </c>
      <c r="R48" s="194">
        <v>2.5</v>
      </c>
      <c r="S48" s="30">
        <v>2021</v>
      </c>
      <c r="T48" s="30" t="s">
        <v>294</v>
      </c>
      <c r="U48" s="30" t="s">
        <v>294</v>
      </c>
      <c r="V48" s="30" t="s">
        <v>491</v>
      </c>
      <c r="W48" s="30" t="s">
        <v>491</v>
      </c>
      <c r="X48" s="30" t="s">
        <v>492</v>
      </c>
      <c r="Y48" s="30" t="s">
        <v>492</v>
      </c>
      <c r="Z48" s="30" t="s">
        <v>492</v>
      </c>
      <c r="AA48" s="30" t="s">
        <v>492</v>
      </c>
    </row>
    <row r="49" spans="1:27" ht="47.25" x14ac:dyDescent="0.25">
      <c r="A49" s="192">
        <v>25</v>
      </c>
      <c r="B49" s="193" t="s">
        <v>516</v>
      </c>
      <c r="C49" s="193" t="s">
        <v>516</v>
      </c>
      <c r="D49" s="193" t="s">
        <v>516</v>
      </c>
      <c r="E49" s="193" t="s">
        <v>516</v>
      </c>
      <c r="F49" s="30">
        <v>0.4</v>
      </c>
      <c r="G49" s="30">
        <v>0.4</v>
      </c>
      <c r="H49" s="30">
        <v>0.4</v>
      </c>
      <c r="I49" s="30">
        <v>0.4</v>
      </c>
      <c r="J49" s="30" t="s">
        <v>294</v>
      </c>
      <c r="K49" s="30">
        <v>1</v>
      </c>
      <c r="L49" s="30">
        <v>1</v>
      </c>
      <c r="M49" s="30" t="s">
        <v>488</v>
      </c>
      <c r="N49" s="30" t="s">
        <v>489</v>
      </c>
      <c r="O49" s="30" t="s">
        <v>490</v>
      </c>
      <c r="P49" s="30" t="s">
        <v>490</v>
      </c>
      <c r="Q49" s="194">
        <v>2.4500000000000002</v>
      </c>
      <c r="R49" s="194">
        <v>2.4500000000000002</v>
      </c>
      <c r="S49" s="30">
        <v>2021</v>
      </c>
      <c r="T49" s="30" t="s">
        <v>294</v>
      </c>
      <c r="U49" s="30" t="s">
        <v>294</v>
      </c>
      <c r="V49" s="30" t="s">
        <v>491</v>
      </c>
      <c r="W49" s="30" t="s">
        <v>491</v>
      </c>
      <c r="X49" s="30" t="s">
        <v>492</v>
      </c>
      <c r="Y49" s="30" t="s">
        <v>492</v>
      </c>
      <c r="Z49" s="30" t="s">
        <v>492</v>
      </c>
      <c r="AA49" s="30" t="s">
        <v>492</v>
      </c>
    </row>
    <row r="50" spans="1:27" ht="47.25" x14ac:dyDescent="0.25">
      <c r="A50" s="192">
        <v>26</v>
      </c>
      <c r="B50" s="193" t="s">
        <v>517</v>
      </c>
      <c r="C50" s="193" t="s">
        <v>517</v>
      </c>
      <c r="D50" s="193" t="s">
        <v>517</v>
      </c>
      <c r="E50" s="193" t="s">
        <v>517</v>
      </c>
      <c r="F50" s="30">
        <v>0.4</v>
      </c>
      <c r="G50" s="30">
        <v>0.4</v>
      </c>
      <c r="H50" s="30">
        <v>0.4</v>
      </c>
      <c r="I50" s="30">
        <v>0.4</v>
      </c>
      <c r="J50" s="30" t="s">
        <v>294</v>
      </c>
      <c r="K50" s="30">
        <v>1</v>
      </c>
      <c r="L50" s="30">
        <v>1</v>
      </c>
      <c r="M50" s="30" t="s">
        <v>488</v>
      </c>
      <c r="N50" s="30" t="s">
        <v>489</v>
      </c>
      <c r="O50" s="30" t="s">
        <v>490</v>
      </c>
      <c r="P50" s="30" t="s">
        <v>490</v>
      </c>
      <c r="Q50" s="194">
        <v>3.35</v>
      </c>
      <c r="R50" s="194">
        <v>3.35</v>
      </c>
      <c r="S50" s="30">
        <v>2021</v>
      </c>
      <c r="T50" s="30" t="s">
        <v>294</v>
      </c>
      <c r="U50" s="30" t="s">
        <v>294</v>
      </c>
      <c r="V50" s="30" t="s">
        <v>491</v>
      </c>
      <c r="W50" s="30" t="s">
        <v>491</v>
      </c>
      <c r="X50" s="30" t="s">
        <v>492</v>
      </c>
      <c r="Y50" s="30" t="s">
        <v>492</v>
      </c>
      <c r="Z50" s="30" t="s">
        <v>492</v>
      </c>
      <c r="AA50" s="30" t="s">
        <v>492</v>
      </c>
    </row>
    <row r="51" spans="1:27" ht="47.25" x14ac:dyDescent="0.25">
      <c r="A51" s="192">
        <v>27</v>
      </c>
      <c r="B51" s="193" t="s">
        <v>518</v>
      </c>
      <c r="C51" s="193" t="s">
        <v>518</v>
      </c>
      <c r="D51" s="193" t="s">
        <v>518</v>
      </c>
      <c r="E51" s="193" t="s">
        <v>518</v>
      </c>
      <c r="F51" s="30">
        <v>0.4</v>
      </c>
      <c r="G51" s="30">
        <v>0.4</v>
      </c>
      <c r="H51" s="30">
        <v>0.4</v>
      </c>
      <c r="I51" s="30">
        <v>0.4</v>
      </c>
      <c r="J51" s="30" t="s">
        <v>294</v>
      </c>
      <c r="K51" s="30">
        <v>1</v>
      </c>
      <c r="L51" s="30">
        <v>1</v>
      </c>
      <c r="M51" s="30" t="s">
        <v>488</v>
      </c>
      <c r="N51" s="30" t="s">
        <v>489</v>
      </c>
      <c r="O51" s="30" t="s">
        <v>490</v>
      </c>
      <c r="P51" s="30" t="s">
        <v>490</v>
      </c>
      <c r="Q51" s="194">
        <v>2.09</v>
      </c>
      <c r="R51" s="194">
        <v>2.09</v>
      </c>
      <c r="S51" s="30">
        <v>2021</v>
      </c>
      <c r="T51" s="30" t="s">
        <v>294</v>
      </c>
      <c r="U51" s="30" t="s">
        <v>294</v>
      </c>
      <c r="V51" s="30" t="s">
        <v>491</v>
      </c>
      <c r="W51" s="30" t="s">
        <v>491</v>
      </c>
      <c r="X51" s="30" t="s">
        <v>492</v>
      </c>
      <c r="Y51" s="30" t="s">
        <v>492</v>
      </c>
      <c r="Z51" s="30" t="s">
        <v>492</v>
      </c>
      <c r="AA51" s="30" t="s">
        <v>492</v>
      </c>
    </row>
    <row r="52" spans="1:27" ht="47.25" x14ac:dyDescent="0.25">
      <c r="A52" s="192">
        <v>28</v>
      </c>
      <c r="B52" s="193" t="s">
        <v>519</v>
      </c>
      <c r="C52" s="193" t="s">
        <v>519</v>
      </c>
      <c r="D52" s="193" t="s">
        <v>519</v>
      </c>
      <c r="E52" s="193" t="s">
        <v>519</v>
      </c>
      <c r="F52" s="30">
        <v>0.4</v>
      </c>
      <c r="G52" s="30">
        <v>0.4</v>
      </c>
      <c r="H52" s="30">
        <v>0.4</v>
      </c>
      <c r="I52" s="30">
        <v>0.4</v>
      </c>
      <c r="J52" s="30" t="s">
        <v>294</v>
      </c>
      <c r="K52" s="30">
        <v>1</v>
      </c>
      <c r="L52" s="30">
        <v>1</v>
      </c>
      <c r="M52" s="30" t="s">
        <v>488</v>
      </c>
      <c r="N52" s="30" t="s">
        <v>489</v>
      </c>
      <c r="O52" s="30" t="s">
        <v>490</v>
      </c>
      <c r="P52" s="30" t="s">
        <v>490</v>
      </c>
      <c r="Q52" s="194">
        <v>0.87</v>
      </c>
      <c r="R52" s="194">
        <v>0.87</v>
      </c>
      <c r="S52" s="30">
        <v>2021</v>
      </c>
      <c r="T52" s="30" t="s">
        <v>294</v>
      </c>
      <c r="U52" s="30" t="s">
        <v>294</v>
      </c>
      <c r="V52" s="30" t="s">
        <v>491</v>
      </c>
      <c r="W52" s="30" t="s">
        <v>491</v>
      </c>
      <c r="X52" s="30" t="s">
        <v>492</v>
      </c>
      <c r="Y52" s="30" t="s">
        <v>492</v>
      </c>
      <c r="Z52" s="30" t="s">
        <v>492</v>
      </c>
      <c r="AA52" s="30" t="s">
        <v>492</v>
      </c>
    </row>
    <row r="53" spans="1:27" ht="47.25" x14ac:dyDescent="0.25">
      <c r="A53" s="192">
        <v>29</v>
      </c>
      <c r="B53" s="193" t="s">
        <v>520</v>
      </c>
      <c r="C53" s="193" t="s">
        <v>520</v>
      </c>
      <c r="D53" s="193" t="s">
        <v>520</v>
      </c>
      <c r="E53" s="193" t="s">
        <v>520</v>
      </c>
      <c r="F53" s="30">
        <v>0.4</v>
      </c>
      <c r="G53" s="30">
        <v>0.4</v>
      </c>
      <c r="H53" s="30">
        <v>0.4</v>
      </c>
      <c r="I53" s="30">
        <v>0.4</v>
      </c>
      <c r="J53" s="30" t="s">
        <v>294</v>
      </c>
      <c r="K53" s="30">
        <v>1</v>
      </c>
      <c r="L53" s="30">
        <v>1</v>
      </c>
      <c r="M53" s="30" t="s">
        <v>488</v>
      </c>
      <c r="N53" s="30" t="s">
        <v>489</v>
      </c>
      <c r="O53" s="30" t="s">
        <v>490</v>
      </c>
      <c r="P53" s="30" t="s">
        <v>490</v>
      </c>
      <c r="Q53" s="194">
        <v>2.33</v>
      </c>
      <c r="R53" s="194">
        <v>2.33</v>
      </c>
      <c r="S53" s="30">
        <v>2021</v>
      </c>
      <c r="T53" s="30" t="s">
        <v>294</v>
      </c>
      <c r="U53" s="30" t="s">
        <v>294</v>
      </c>
      <c r="V53" s="30" t="s">
        <v>491</v>
      </c>
      <c r="W53" s="30" t="s">
        <v>491</v>
      </c>
      <c r="X53" s="30" t="s">
        <v>492</v>
      </c>
      <c r="Y53" s="30" t="s">
        <v>492</v>
      </c>
      <c r="Z53" s="30" t="s">
        <v>492</v>
      </c>
      <c r="AA53" s="30" t="s">
        <v>492</v>
      </c>
    </row>
    <row r="54" spans="1:27" ht="47.25" x14ac:dyDescent="0.25">
      <c r="A54" s="192">
        <v>30</v>
      </c>
      <c r="B54" s="193" t="s">
        <v>521</v>
      </c>
      <c r="C54" s="193" t="s">
        <v>521</v>
      </c>
      <c r="D54" s="193" t="s">
        <v>521</v>
      </c>
      <c r="E54" s="193" t="s">
        <v>521</v>
      </c>
      <c r="F54" s="30">
        <v>0.4</v>
      </c>
      <c r="G54" s="30">
        <v>0.4</v>
      </c>
      <c r="H54" s="30">
        <v>0.4</v>
      </c>
      <c r="I54" s="30">
        <v>0.4</v>
      </c>
      <c r="J54" s="30" t="s">
        <v>294</v>
      </c>
      <c r="K54" s="30">
        <v>1</v>
      </c>
      <c r="L54" s="30">
        <v>1</v>
      </c>
      <c r="M54" s="30" t="s">
        <v>488</v>
      </c>
      <c r="N54" s="30" t="s">
        <v>489</v>
      </c>
      <c r="O54" s="30" t="s">
        <v>490</v>
      </c>
      <c r="P54" s="30" t="s">
        <v>490</v>
      </c>
      <c r="Q54" s="194">
        <v>1.1599999999999999</v>
      </c>
      <c r="R54" s="194">
        <v>1.1599999999999999</v>
      </c>
      <c r="S54" s="30">
        <v>2021</v>
      </c>
      <c r="T54" s="30" t="s">
        <v>294</v>
      </c>
      <c r="U54" s="30" t="s">
        <v>294</v>
      </c>
      <c r="V54" s="30" t="s">
        <v>491</v>
      </c>
      <c r="W54" s="30" t="s">
        <v>491</v>
      </c>
      <c r="X54" s="30" t="s">
        <v>492</v>
      </c>
      <c r="Y54" s="30" t="s">
        <v>492</v>
      </c>
      <c r="Z54" s="30" t="s">
        <v>492</v>
      </c>
      <c r="AA54" s="30" t="s">
        <v>492</v>
      </c>
    </row>
    <row r="55" spans="1:27" ht="47.25" x14ac:dyDescent="0.25">
      <c r="A55" s="192">
        <v>31</v>
      </c>
      <c r="B55" s="193" t="s">
        <v>522</v>
      </c>
      <c r="C55" s="193" t="s">
        <v>522</v>
      </c>
      <c r="D55" s="193" t="s">
        <v>522</v>
      </c>
      <c r="E55" s="193" t="s">
        <v>522</v>
      </c>
      <c r="F55" s="30">
        <v>0.4</v>
      </c>
      <c r="G55" s="30">
        <v>0.4</v>
      </c>
      <c r="H55" s="30">
        <v>0.4</v>
      </c>
      <c r="I55" s="30">
        <v>0.4</v>
      </c>
      <c r="J55" s="30" t="s">
        <v>294</v>
      </c>
      <c r="K55" s="30">
        <v>1</v>
      </c>
      <c r="L55" s="30">
        <v>1</v>
      </c>
      <c r="M55" s="30" t="s">
        <v>488</v>
      </c>
      <c r="N55" s="30" t="s">
        <v>489</v>
      </c>
      <c r="O55" s="30" t="s">
        <v>490</v>
      </c>
      <c r="P55" s="30" t="s">
        <v>490</v>
      </c>
      <c r="Q55" s="194">
        <v>3.23</v>
      </c>
      <c r="R55" s="194">
        <v>3.23</v>
      </c>
      <c r="S55" s="30">
        <v>2021</v>
      </c>
      <c r="T55" s="30" t="s">
        <v>294</v>
      </c>
      <c r="U55" s="30" t="s">
        <v>294</v>
      </c>
      <c r="V55" s="30" t="s">
        <v>491</v>
      </c>
      <c r="W55" s="30" t="s">
        <v>491</v>
      </c>
      <c r="X55" s="30" t="s">
        <v>492</v>
      </c>
      <c r="Y55" s="30" t="s">
        <v>492</v>
      </c>
      <c r="Z55" s="30" t="s">
        <v>492</v>
      </c>
      <c r="AA55" s="30" t="s">
        <v>492</v>
      </c>
    </row>
    <row r="56" spans="1:27" ht="47.25" x14ac:dyDescent="0.25">
      <c r="A56" s="192">
        <v>32</v>
      </c>
      <c r="B56" s="193" t="s">
        <v>523</v>
      </c>
      <c r="C56" s="193" t="s">
        <v>523</v>
      </c>
      <c r="D56" s="193" t="s">
        <v>523</v>
      </c>
      <c r="E56" s="193" t="s">
        <v>523</v>
      </c>
      <c r="F56" s="30">
        <v>0.4</v>
      </c>
      <c r="G56" s="30">
        <v>0.4</v>
      </c>
      <c r="H56" s="30">
        <v>0.4</v>
      </c>
      <c r="I56" s="30">
        <v>0.4</v>
      </c>
      <c r="J56" s="30" t="s">
        <v>294</v>
      </c>
      <c r="K56" s="30">
        <v>1</v>
      </c>
      <c r="L56" s="30">
        <v>1</v>
      </c>
      <c r="M56" s="30" t="s">
        <v>488</v>
      </c>
      <c r="N56" s="30" t="s">
        <v>489</v>
      </c>
      <c r="O56" s="30" t="s">
        <v>490</v>
      </c>
      <c r="P56" s="30" t="s">
        <v>490</v>
      </c>
      <c r="Q56" s="194">
        <v>1.98</v>
      </c>
      <c r="R56" s="194">
        <v>1.98</v>
      </c>
      <c r="S56" s="30">
        <v>2021</v>
      </c>
      <c r="T56" s="30" t="s">
        <v>294</v>
      </c>
      <c r="U56" s="30" t="s">
        <v>294</v>
      </c>
      <c r="V56" s="30" t="s">
        <v>491</v>
      </c>
      <c r="W56" s="30" t="s">
        <v>491</v>
      </c>
      <c r="X56" s="30" t="s">
        <v>492</v>
      </c>
      <c r="Y56" s="30" t="s">
        <v>492</v>
      </c>
      <c r="Z56" s="30" t="s">
        <v>492</v>
      </c>
      <c r="AA56" s="30" t="s">
        <v>492</v>
      </c>
    </row>
    <row r="57" spans="1:27" ht="47.25" x14ac:dyDescent="0.25">
      <c r="A57" s="192">
        <v>33</v>
      </c>
      <c r="B57" s="193" t="s">
        <v>524</v>
      </c>
      <c r="C57" s="193" t="s">
        <v>524</v>
      </c>
      <c r="D57" s="193" t="s">
        <v>524</v>
      </c>
      <c r="E57" s="193" t="s">
        <v>524</v>
      </c>
      <c r="F57" s="30">
        <v>0.4</v>
      </c>
      <c r="G57" s="30">
        <v>0.4</v>
      </c>
      <c r="H57" s="30">
        <v>0.4</v>
      </c>
      <c r="I57" s="30">
        <v>0.4</v>
      </c>
      <c r="J57" s="30" t="s">
        <v>294</v>
      </c>
      <c r="K57" s="30">
        <v>1</v>
      </c>
      <c r="L57" s="30">
        <v>1</v>
      </c>
      <c r="M57" s="30" t="s">
        <v>488</v>
      </c>
      <c r="N57" s="30" t="s">
        <v>489</v>
      </c>
      <c r="O57" s="30" t="s">
        <v>490</v>
      </c>
      <c r="P57" s="30" t="s">
        <v>490</v>
      </c>
      <c r="Q57" s="194">
        <v>1.3</v>
      </c>
      <c r="R57" s="194">
        <v>1.3</v>
      </c>
      <c r="S57" s="30">
        <v>2021</v>
      </c>
      <c r="T57" s="30" t="s">
        <v>294</v>
      </c>
      <c r="U57" s="30" t="s">
        <v>294</v>
      </c>
      <c r="V57" s="30" t="s">
        <v>491</v>
      </c>
      <c r="W57" s="30" t="s">
        <v>491</v>
      </c>
      <c r="X57" s="30" t="s">
        <v>492</v>
      </c>
      <c r="Y57" s="30" t="s">
        <v>492</v>
      </c>
      <c r="Z57" s="30" t="s">
        <v>492</v>
      </c>
      <c r="AA57" s="30" t="s">
        <v>492</v>
      </c>
    </row>
    <row r="58" spans="1:27" ht="47.25" x14ac:dyDescent="0.25">
      <c r="A58" s="192">
        <v>34</v>
      </c>
      <c r="B58" s="193" t="s">
        <v>525</v>
      </c>
      <c r="C58" s="193" t="s">
        <v>525</v>
      </c>
      <c r="D58" s="193" t="s">
        <v>525</v>
      </c>
      <c r="E58" s="193" t="s">
        <v>525</v>
      </c>
      <c r="F58" s="30">
        <v>0.4</v>
      </c>
      <c r="G58" s="30">
        <v>0.4</v>
      </c>
      <c r="H58" s="30">
        <v>0.4</v>
      </c>
      <c r="I58" s="30">
        <v>0.4</v>
      </c>
      <c r="J58" s="30" t="s">
        <v>294</v>
      </c>
      <c r="K58" s="30">
        <v>1</v>
      </c>
      <c r="L58" s="30">
        <v>1</v>
      </c>
      <c r="M58" s="30" t="s">
        <v>488</v>
      </c>
      <c r="N58" s="30" t="s">
        <v>489</v>
      </c>
      <c r="O58" s="30" t="s">
        <v>490</v>
      </c>
      <c r="P58" s="30" t="s">
        <v>490</v>
      </c>
      <c r="Q58" s="194">
        <v>1.68</v>
      </c>
      <c r="R58" s="194">
        <v>1.68</v>
      </c>
      <c r="S58" s="30">
        <v>2021</v>
      </c>
      <c r="T58" s="30" t="s">
        <v>294</v>
      </c>
      <c r="U58" s="30" t="s">
        <v>294</v>
      </c>
      <c r="V58" s="30" t="s">
        <v>491</v>
      </c>
      <c r="W58" s="30" t="s">
        <v>491</v>
      </c>
      <c r="X58" s="30" t="s">
        <v>492</v>
      </c>
      <c r="Y58" s="30" t="s">
        <v>492</v>
      </c>
      <c r="Z58" s="30" t="s">
        <v>492</v>
      </c>
      <c r="AA58" s="30" t="s">
        <v>492</v>
      </c>
    </row>
    <row r="59" spans="1:27" ht="47.25" x14ac:dyDescent="0.25">
      <c r="A59" s="192">
        <v>35</v>
      </c>
      <c r="B59" s="193" t="s">
        <v>526</v>
      </c>
      <c r="C59" s="193" t="s">
        <v>526</v>
      </c>
      <c r="D59" s="193" t="s">
        <v>526</v>
      </c>
      <c r="E59" s="193" t="s">
        <v>526</v>
      </c>
      <c r="F59" s="30">
        <v>0.4</v>
      </c>
      <c r="G59" s="30">
        <v>0.4</v>
      </c>
      <c r="H59" s="30">
        <v>0.4</v>
      </c>
      <c r="I59" s="30">
        <v>0.4</v>
      </c>
      <c r="J59" s="30" t="s">
        <v>294</v>
      </c>
      <c r="K59" s="30">
        <v>1</v>
      </c>
      <c r="L59" s="30">
        <v>1</v>
      </c>
      <c r="M59" s="30" t="s">
        <v>488</v>
      </c>
      <c r="N59" s="30" t="s">
        <v>489</v>
      </c>
      <c r="O59" s="30" t="s">
        <v>490</v>
      </c>
      <c r="P59" s="30" t="s">
        <v>490</v>
      </c>
      <c r="Q59" s="194">
        <v>3.15</v>
      </c>
      <c r="R59" s="194">
        <v>3.15</v>
      </c>
      <c r="S59" s="30">
        <v>2021</v>
      </c>
      <c r="T59" s="30" t="s">
        <v>294</v>
      </c>
      <c r="U59" s="30" t="s">
        <v>294</v>
      </c>
      <c r="V59" s="30" t="s">
        <v>491</v>
      </c>
      <c r="W59" s="30" t="s">
        <v>491</v>
      </c>
      <c r="X59" s="30" t="s">
        <v>492</v>
      </c>
      <c r="Y59" s="30" t="s">
        <v>492</v>
      </c>
      <c r="Z59" s="30" t="s">
        <v>492</v>
      </c>
      <c r="AA59" s="30" t="s">
        <v>492</v>
      </c>
    </row>
    <row r="60" spans="1:27" ht="47.25" x14ac:dyDescent="0.25">
      <c r="A60" s="192">
        <v>36</v>
      </c>
      <c r="B60" s="193" t="s">
        <v>527</v>
      </c>
      <c r="C60" s="193" t="s">
        <v>527</v>
      </c>
      <c r="D60" s="193" t="s">
        <v>527</v>
      </c>
      <c r="E60" s="193" t="s">
        <v>527</v>
      </c>
      <c r="F60" s="30">
        <v>0.4</v>
      </c>
      <c r="G60" s="30">
        <v>0.4</v>
      </c>
      <c r="H60" s="30">
        <v>0.4</v>
      </c>
      <c r="I60" s="30">
        <v>0.4</v>
      </c>
      <c r="J60" s="30" t="s">
        <v>294</v>
      </c>
      <c r="K60" s="30">
        <v>1</v>
      </c>
      <c r="L60" s="30">
        <v>1</v>
      </c>
      <c r="M60" s="30" t="s">
        <v>488</v>
      </c>
      <c r="N60" s="30" t="s">
        <v>489</v>
      </c>
      <c r="O60" s="30" t="s">
        <v>490</v>
      </c>
      <c r="P60" s="30" t="s">
        <v>490</v>
      </c>
      <c r="Q60" s="194">
        <v>2.09</v>
      </c>
      <c r="R60" s="194">
        <v>2.09</v>
      </c>
      <c r="S60" s="30">
        <v>2021</v>
      </c>
      <c r="T60" s="30" t="s">
        <v>294</v>
      </c>
      <c r="U60" s="30" t="s">
        <v>294</v>
      </c>
      <c r="V60" s="30" t="s">
        <v>491</v>
      </c>
      <c r="W60" s="30" t="s">
        <v>491</v>
      </c>
      <c r="X60" s="30" t="s">
        <v>492</v>
      </c>
      <c r="Y60" s="30" t="s">
        <v>492</v>
      </c>
      <c r="Z60" s="30" t="s">
        <v>492</v>
      </c>
      <c r="AA60" s="30" t="s">
        <v>492</v>
      </c>
    </row>
    <row r="61" spans="1:27" ht="47.25" x14ac:dyDescent="0.25">
      <c r="A61" s="192">
        <v>37</v>
      </c>
      <c r="B61" s="193" t="s">
        <v>528</v>
      </c>
      <c r="C61" s="193" t="s">
        <v>528</v>
      </c>
      <c r="D61" s="193" t="s">
        <v>528</v>
      </c>
      <c r="E61" s="193" t="s">
        <v>528</v>
      </c>
      <c r="F61" s="30">
        <v>0.4</v>
      </c>
      <c r="G61" s="30">
        <v>0.4</v>
      </c>
      <c r="H61" s="30">
        <v>0.4</v>
      </c>
      <c r="I61" s="30">
        <v>0.4</v>
      </c>
      <c r="J61" s="30" t="s">
        <v>294</v>
      </c>
      <c r="K61" s="30">
        <v>1</v>
      </c>
      <c r="L61" s="30">
        <v>1</v>
      </c>
      <c r="M61" s="30" t="s">
        <v>488</v>
      </c>
      <c r="N61" s="30" t="s">
        <v>489</v>
      </c>
      <c r="O61" s="30" t="s">
        <v>490</v>
      </c>
      <c r="P61" s="30" t="s">
        <v>490</v>
      </c>
      <c r="Q61" s="194">
        <v>1.72</v>
      </c>
      <c r="R61" s="194">
        <v>1.72</v>
      </c>
      <c r="S61" s="30">
        <v>2021</v>
      </c>
      <c r="T61" s="30" t="s">
        <v>294</v>
      </c>
      <c r="U61" s="30" t="s">
        <v>294</v>
      </c>
      <c r="V61" s="30" t="s">
        <v>491</v>
      </c>
      <c r="W61" s="30" t="s">
        <v>491</v>
      </c>
      <c r="X61" s="30" t="s">
        <v>492</v>
      </c>
      <c r="Y61" s="30" t="s">
        <v>492</v>
      </c>
      <c r="Z61" s="30" t="s">
        <v>492</v>
      </c>
      <c r="AA61" s="30" t="s">
        <v>492</v>
      </c>
    </row>
    <row r="62" spans="1:27" ht="47.25" x14ac:dyDescent="0.25">
      <c r="A62" s="192">
        <v>38</v>
      </c>
      <c r="B62" s="193" t="s">
        <v>529</v>
      </c>
      <c r="C62" s="193" t="s">
        <v>529</v>
      </c>
      <c r="D62" s="193" t="s">
        <v>529</v>
      </c>
      <c r="E62" s="193" t="s">
        <v>529</v>
      </c>
      <c r="F62" s="30">
        <v>0.4</v>
      </c>
      <c r="G62" s="30">
        <v>0.4</v>
      </c>
      <c r="H62" s="30">
        <v>0.4</v>
      </c>
      <c r="I62" s="30">
        <v>0.4</v>
      </c>
      <c r="J62" s="30" t="s">
        <v>294</v>
      </c>
      <c r="K62" s="30">
        <v>1</v>
      </c>
      <c r="L62" s="30">
        <v>1</v>
      </c>
      <c r="M62" s="30" t="s">
        <v>488</v>
      </c>
      <c r="N62" s="30" t="s">
        <v>489</v>
      </c>
      <c r="O62" s="30" t="s">
        <v>490</v>
      </c>
      <c r="P62" s="30" t="s">
        <v>490</v>
      </c>
      <c r="Q62" s="194">
        <v>2.7320000000000002</v>
      </c>
      <c r="R62" s="194">
        <v>2.7320000000000002</v>
      </c>
      <c r="S62" s="30">
        <v>2021</v>
      </c>
      <c r="T62" s="30" t="s">
        <v>294</v>
      </c>
      <c r="U62" s="30" t="s">
        <v>294</v>
      </c>
      <c r="V62" s="30" t="s">
        <v>491</v>
      </c>
      <c r="W62" s="30" t="s">
        <v>491</v>
      </c>
      <c r="X62" s="30" t="s">
        <v>492</v>
      </c>
      <c r="Y62" s="30" t="s">
        <v>492</v>
      </c>
      <c r="Z62" s="30" t="s">
        <v>492</v>
      </c>
      <c r="AA62" s="30" t="s">
        <v>492</v>
      </c>
    </row>
    <row r="63" spans="1:27" ht="47.25" x14ac:dyDescent="0.25">
      <c r="A63" s="192">
        <v>39</v>
      </c>
      <c r="B63" s="193" t="s">
        <v>530</v>
      </c>
      <c r="C63" s="193" t="s">
        <v>530</v>
      </c>
      <c r="D63" s="193" t="s">
        <v>530</v>
      </c>
      <c r="E63" s="193" t="s">
        <v>530</v>
      </c>
      <c r="F63" s="30">
        <v>0.4</v>
      </c>
      <c r="G63" s="30">
        <v>0.4</v>
      </c>
      <c r="H63" s="30">
        <v>0.4</v>
      </c>
      <c r="I63" s="30">
        <v>0.4</v>
      </c>
      <c r="J63" s="30" t="s">
        <v>294</v>
      </c>
      <c r="K63" s="30">
        <v>1</v>
      </c>
      <c r="L63" s="30">
        <v>1</v>
      </c>
      <c r="M63" s="30" t="s">
        <v>488</v>
      </c>
      <c r="N63" s="30" t="s">
        <v>489</v>
      </c>
      <c r="O63" s="30" t="s">
        <v>490</v>
      </c>
      <c r="P63" s="30" t="s">
        <v>490</v>
      </c>
      <c r="Q63" s="194">
        <v>2.38</v>
      </c>
      <c r="R63" s="194">
        <v>2.38</v>
      </c>
      <c r="S63" s="30">
        <v>2021</v>
      </c>
      <c r="T63" s="30" t="s">
        <v>294</v>
      </c>
      <c r="U63" s="30" t="s">
        <v>294</v>
      </c>
      <c r="V63" s="30" t="s">
        <v>491</v>
      </c>
      <c r="W63" s="30" t="s">
        <v>491</v>
      </c>
      <c r="X63" s="30" t="s">
        <v>492</v>
      </c>
      <c r="Y63" s="30" t="s">
        <v>492</v>
      </c>
      <c r="Z63" s="30" t="s">
        <v>492</v>
      </c>
      <c r="AA63" s="30" t="s">
        <v>492</v>
      </c>
    </row>
    <row r="64" spans="1:27" ht="47.25" x14ac:dyDescent="0.25">
      <c r="A64" s="192">
        <v>40</v>
      </c>
      <c r="B64" s="193" t="s">
        <v>531</v>
      </c>
      <c r="C64" s="193" t="s">
        <v>531</v>
      </c>
      <c r="D64" s="193" t="s">
        <v>531</v>
      </c>
      <c r="E64" s="193" t="s">
        <v>531</v>
      </c>
      <c r="F64" s="30">
        <v>0.4</v>
      </c>
      <c r="G64" s="30">
        <v>0.4</v>
      </c>
      <c r="H64" s="30">
        <v>0.4</v>
      </c>
      <c r="I64" s="30">
        <v>0.4</v>
      </c>
      <c r="J64" s="30" t="s">
        <v>294</v>
      </c>
      <c r="K64" s="30">
        <v>1</v>
      </c>
      <c r="L64" s="30">
        <v>1</v>
      </c>
      <c r="M64" s="30" t="s">
        <v>488</v>
      </c>
      <c r="N64" s="30" t="s">
        <v>489</v>
      </c>
      <c r="O64" s="30" t="s">
        <v>490</v>
      </c>
      <c r="P64" s="30" t="s">
        <v>490</v>
      </c>
      <c r="Q64" s="194">
        <v>0.46500000000000002</v>
      </c>
      <c r="R64" s="194">
        <v>0.46500000000000002</v>
      </c>
      <c r="S64" s="30">
        <v>2021</v>
      </c>
      <c r="T64" s="30" t="s">
        <v>294</v>
      </c>
      <c r="U64" s="30" t="s">
        <v>294</v>
      </c>
      <c r="V64" s="30" t="s">
        <v>491</v>
      </c>
      <c r="W64" s="30" t="s">
        <v>491</v>
      </c>
      <c r="X64" s="30" t="s">
        <v>492</v>
      </c>
      <c r="Y64" s="30" t="s">
        <v>492</v>
      </c>
      <c r="Z64" s="30" t="s">
        <v>492</v>
      </c>
      <c r="AA64" s="30" t="s">
        <v>492</v>
      </c>
    </row>
    <row r="65" spans="1:27" ht="47.25" x14ac:dyDescent="0.25">
      <c r="A65" s="192">
        <v>41</v>
      </c>
      <c r="B65" s="193" t="s">
        <v>532</v>
      </c>
      <c r="C65" s="193" t="s">
        <v>532</v>
      </c>
      <c r="D65" s="193" t="s">
        <v>532</v>
      </c>
      <c r="E65" s="193" t="s">
        <v>532</v>
      </c>
      <c r="F65" s="30">
        <v>0.4</v>
      </c>
      <c r="G65" s="30">
        <v>0.4</v>
      </c>
      <c r="H65" s="30">
        <v>0.4</v>
      </c>
      <c r="I65" s="30">
        <v>0.4</v>
      </c>
      <c r="J65" s="30" t="s">
        <v>294</v>
      </c>
      <c r="K65" s="30">
        <v>1</v>
      </c>
      <c r="L65" s="30">
        <v>1</v>
      </c>
      <c r="M65" s="30" t="s">
        <v>488</v>
      </c>
      <c r="N65" s="30" t="s">
        <v>489</v>
      </c>
      <c r="O65" s="30" t="s">
        <v>490</v>
      </c>
      <c r="P65" s="30" t="s">
        <v>490</v>
      </c>
      <c r="Q65" s="194">
        <v>2.2650000000000001</v>
      </c>
      <c r="R65" s="194">
        <v>2.2650000000000001</v>
      </c>
      <c r="S65" s="30">
        <v>2021</v>
      </c>
      <c r="T65" s="30" t="s">
        <v>294</v>
      </c>
      <c r="U65" s="30" t="s">
        <v>294</v>
      </c>
      <c r="V65" s="30" t="s">
        <v>491</v>
      </c>
      <c r="W65" s="30" t="s">
        <v>491</v>
      </c>
      <c r="X65" s="30" t="s">
        <v>492</v>
      </c>
      <c r="Y65" s="30" t="s">
        <v>492</v>
      </c>
      <c r="Z65" s="30" t="s">
        <v>492</v>
      </c>
      <c r="AA65" s="30" t="s">
        <v>492</v>
      </c>
    </row>
    <row r="66" spans="1:27" ht="47.25" x14ac:dyDescent="0.25">
      <c r="A66" s="192">
        <v>42</v>
      </c>
      <c r="B66" s="193" t="s">
        <v>533</v>
      </c>
      <c r="C66" s="193" t="s">
        <v>533</v>
      </c>
      <c r="D66" s="193" t="s">
        <v>533</v>
      </c>
      <c r="E66" s="193" t="s">
        <v>533</v>
      </c>
      <c r="F66" s="30">
        <v>0.4</v>
      </c>
      <c r="G66" s="30">
        <v>0.4</v>
      </c>
      <c r="H66" s="30">
        <v>0.4</v>
      </c>
      <c r="I66" s="30">
        <v>0.4</v>
      </c>
      <c r="J66" s="30" t="s">
        <v>294</v>
      </c>
      <c r="K66" s="30">
        <v>1</v>
      </c>
      <c r="L66" s="30">
        <v>1</v>
      </c>
      <c r="M66" s="30" t="s">
        <v>488</v>
      </c>
      <c r="N66" s="30" t="s">
        <v>489</v>
      </c>
      <c r="O66" s="30" t="s">
        <v>490</v>
      </c>
      <c r="P66" s="30" t="s">
        <v>490</v>
      </c>
      <c r="Q66" s="194">
        <v>2.4750000000000001</v>
      </c>
      <c r="R66" s="194">
        <v>2.4750000000000001</v>
      </c>
      <c r="S66" s="30">
        <v>2021</v>
      </c>
      <c r="T66" s="30" t="s">
        <v>294</v>
      </c>
      <c r="U66" s="30" t="s">
        <v>294</v>
      </c>
      <c r="V66" s="30" t="s">
        <v>491</v>
      </c>
      <c r="W66" s="30" t="s">
        <v>491</v>
      </c>
      <c r="X66" s="30" t="s">
        <v>492</v>
      </c>
      <c r="Y66" s="30" t="s">
        <v>492</v>
      </c>
      <c r="Z66" s="30" t="s">
        <v>492</v>
      </c>
      <c r="AA66" s="30" t="s">
        <v>492</v>
      </c>
    </row>
    <row r="67" spans="1:27" ht="47.25" x14ac:dyDescent="0.25">
      <c r="A67" s="192">
        <v>43</v>
      </c>
      <c r="B67" s="193" t="s">
        <v>534</v>
      </c>
      <c r="C67" s="193" t="s">
        <v>534</v>
      </c>
      <c r="D67" s="193" t="s">
        <v>534</v>
      </c>
      <c r="E67" s="193" t="s">
        <v>534</v>
      </c>
      <c r="F67" s="30">
        <v>0.4</v>
      </c>
      <c r="G67" s="30">
        <v>0.4</v>
      </c>
      <c r="H67" s="30">
        <v>0.4</v>
      </c>
      <c r="I67" s="30">
        <v>0.4</v>
      </c>
      <c r="J67" s="30" t="s">
        <v>294</v>
      </c>
      <c r="K67" s="30">
        <v>1</v>
      </c>
      <c r="L67" s="30">
        <v>1</v>
      </c>
      <c r="M67" s="30" t="s">
        <v>488</v>
      </c>
      <c r="N67" s="30" t="s">
        <v>489</v>
      </c>
      <c r="O67" s="30" t="s">
        <v>490</v>
      </c>
      <c r="P67" s="30" t="s">
        <v>490</v>
      </c>
      <c r="Q67" s="194">
        <v>1.08</v>
      </c>
      <c r="R67" s="194">
        <v>1.08</v>
      </c>
      <c r="S67" s="30">
        <v>2021</v>
      </c>
      <c r="T67" s="30" t="s">
        <v>294</v>
      </c>
      <c r="U67" s="30" t="s">
        <v>294</v>
      </c>
      <c r="V67" s="30" t="s">
        <v>491</v>
      </c>
      <c r="W67" s="30" t="s">
        <v>491</v>
      </c>
      <c r="X67" s="30" t="s">
        <v>492</v>
      </c>
      <c r="Y67" s="30" t="s">
        <v>492</v>
      </c>
      <c r="Z67" s="30" t="s">
        <v>492</v>
      </c>
      <c r="AA67" s="30" t="s">
        <v>492</v>
      </c>
    </row>
    <row r="68" spans="1:27" ht="47.25" x14ac:dyDescent="0.25">
      <c r="A68" s="192">
        <v>44</v>
      </c>
      <c r="B68" s="193" t="s">
        <v>535</v>
      </c>
      <c r="C68" s="193" t="s">
        <v>535</v>
      </c>
      <c r="D68" s="193" t="s">
        <v>535</v>
      </c>
      <c r="E68" s="193" t="s">
        <v>535</v>
      </c>
      <c r="F68" s="30">
        <v>0.4</v>
      </c>
      <c r="G68" s="30">
        <v>0.4</v>
      </c>
      <c r="H68" s="30">
        <v>0.4</v>
      </c>
      <c r="I68" s="30">
        <v>0.4</v>
      </c>
      <c r="J68" s="30" t="s">
        <v>294</v>
      </c>
      <c r="K68" s="30">
        <v>1</v>
      </c>
      <c r="L68" s="30">
        <v>1</v>
      </c>
      <c r="M68" s="30" t="s">
        <v>488</v>
      </c>
      <c r="N68" s="30" t="s">
        <v>489</v>
      </c>
      <c r="O68" s="30" t="s">
        <v>490</v>
      </c>
      <c r="P68" s="30" t="s">
        <v>490</v>
      </c>
      <c r="Q68" s="194">
        <v>4.3099999999999996</v>
      </c>
      <c r="R68" s="194">
        <v>4.3099999999999996</v>
      </c>
      <c r="S68" s="30">
        <v>2021</v>
      </c>
      <c r="T68" s="30" t="s">
        <v>294</v>
      </c>
      <c r="U68" s="30" t="s">
        <v>294</v>
      </c>
      <c r="V68" s="30" t="s">
        <v>491</v>
      </c>
      <c r="W68" s="30" t="s">
        <v>491</v>
      </c>
      <c r="X68" s="30" t="s">
        <v>492</v>
      </c>
      <c r="Y68" s="30" t="s">
        <v>492</v>
      </c>
      <c r="Z68" s="30" t="s">
        <v>492</v>
      </c>
      <c r="AA68" s="30" t="s">
        <v>492</v>
      </c>
    </row>
    <row r="69" spans="1:27" ht="47.25" x14ac:dyDescent="0.25">
      <c r="A69" s="192">
        <v>45</v>
      </c>
      <c r="B69" s="193" t="s">
        <v>536</v>
      </c>
      <c r="C69" s="193" t="s">
        <v>536</v>
      </c>
      <c r="D69" s="193" t="s">
        <v>536</v>
      </c>
      <c r="E69" s="193" t="s">
        <v>536</v>
      </c>
      <c r="F69" s="30">
        <v>0.4</v>
      </c>
      <c r="G69" s="30">
        <v>0.4</v>
      </c>
      <c r="H69" s="30">
        <v>0.4</v>
      </c>
      <c r="I69" s="30">
        <v>0.4</v>
      </c>
      <c r="J69" s="30" t="s">
        <v>294</v>
      </c>
      <c r="K69" s="30">
        <v>1</v>
      </c>
      <c r="L69" s="30">
        <v>1</v>
      </c>
      <c r="M69" s="30" t="s">
        <v>488</v>
      </c>
      <c r="N69" s="30" t="s">
        <v>489</v>
      </c>
      <c r="O69" s="30" t="s">
        <v>490</v>
      </c>
      <c r="P69" s="30" t="s">
        <v>490</v>
      </c>
      <c r="Q69" s="194">
        <v>1.7250000000000001</v>
      </c>
      <c r="R69" s="194">
        <v>1.7250000000000001</v>
      </c>
      <c r="S69" s="30">
        <v>2021</v>
      </c>
      <c r="T69" s="30" t="s">
        <v>294</v>
      </c>
      <c r="U69" s="30" t="s">
        <v>294</v>
      </c>
      <c r="V69" s="30" t="s">
        <v>491</v>
      </c>
      <c r="W69" s="30" t="s">
        <v>491</v>
      </c>
      <c r="X69" s="30" t="s">
        <v>492</v>
      </c>
      <c r="Y69" s="30" t="s">
        <v>492</v>
      </c>
      <c r="Z69" s="30" t="s">
        <v>492</v>
      </c>
      <c r="AA69" s="30" t="s">
        <v>492</v>
      </c>
    </row>
    <row r="70" spans="1:27" ht="47.25" x14ac:dyDescent="0.25">
      <c r="A70" s="192">
        <v>46</v>
      </c>
      <c r="B70" s="193" t="s">
        <v>537</v>
      </c>
      <c r="C70" s="193" t="s">
        <v>537</v>
      </c>
      <c r="D70" s="193" t="s">
        <v>537</v>
      </c>
      <c r="E70" s="193" t="s">
        <v>537</v>
      </c>
      <c r="F70" s="30">
        <v>0.4</v>
      </c>
      <c r="G70" s="30">
        <v>0.4</v>
      </c>
      <c r="H70" s="30">
        <v>0.4</v>
      </c>
      <c r="I70" s="30">
        <v>0.4</v>
      </c>
      <c r="J70" s="30" t="s">
        <v>294</v>
      </c>
      <c r="K70" s="30">
        <v>1</v>
      </c>
      <c r="L70" s="30">
        <v>1</v>
      </c>
      <c r="M70" s="30" t="s">
        <v>488</v>
      </c>
      <c r="N70" s="30" t="s">
        <v>489</v>
      </c>
      <c r="O70" s="30" t="s">
        <v>490</v>
      </c>
      <c r="P70" s="30" t="s">
        <v>490</v>
      </c>
      <c r="Q70" s="194">
        <v>2.08</v>
      </c>
      <c r="R70" s="194">
        <v>2.08</v>
      </c>
      <c r="S70" s="30">
        <v>2021</v>
      </c>
      <c r="T70" s="30" t="s">
        <v>294</v>
      </c>
      <c r="U70" s="30" t="s">
        <v>294</v>
      </c>
      <c r="V70" s="30" t="s">
        <v>491</v>
      </c>
      <c r="W70" s="30" t="s">
        <v>491</v>
      </c>
      <c r="X70" s="30" t="s">
        <v>492</v>
      </c>
      <c r="Y70" s="30" t="s">
        <v>492</v>
      </c>
      <c r="Z70" s="30" t="s">
        <v>492</v>
      </c>
      <c r="AA70" s="30" t="s">
        <v>492</v>
      </c>
    </row>
    <row r="71" spans="1:27" ht="47.25" x14ac:dyDescent="0.25">
      <c r="A71" s="192">
        <v>47</v>
      </c>
      <c r="B71" s="193" t="s">
        <v>538</v>
      </c>
      <c r="C71" s="193" t="s">
        <v>538</v>
      </c>
      <c r="D71" s="193" t="s">
        <v>538</v>
      </c>
      <c r="E71" s="193" t="s">
        <v>538</v>
      </c>
      <c r="F71" s="30">
        <v>0.4</v>
      </c>
      <c r="G71" s="30">
        <v>0.4</v>
      </c>
      <c r="H71" s="30">
        <v>0.4</v>
      </c>
      <c r="I71" s="30">
        <v>0.4</v>
      </c>
      <c r="J71" s="30" t="s">
        <v>294</v>
      </c>
      <c r="K71" s="30">
        <v>1</v>
      </c>
      <c r="L71" s="30">
        <v>1</v>
      </c>
      <c r="M71" s="30" t="s">
        <v>488</v>
      </c>
      <c r="N71" s="30" t="s">
        <v>489</v>
      </c>
      <c r="O71" s="30" t="s">
        <v>490</v>
      </c>
      <c r="P71" s="30" t="s">
        <v>490</v>
      </c>
      <c r="Q71" s="194">
        <v>2.3319999999999999</v>
      </c>
      <c r="R71" s="194">
        <v>2.3319999999999999</v>
      </c>
      <c r="S71" s="30">
        <v>2021</v>
      </c>
      <c r="T71" s="30" t="s">
        <v>294</v>
      </c>
      <c r="U71" s="30" t="s">
        <v>294</v>
      </c>
      <c r="V71" s="30" t="s">
        <v>491</v>
      </c>
      <c r="W71" s="30" t="s">
        <v>491</v>
      </c>
      <c r="X71" s="30" t="s">
        <v>492</v>
      </c>
      <c r="Y71" s="30" t="s">
        <v>492</v>
      </c>
      <c r="Z71" s="30" t="s">
        <v>492</v>
      </c>
      <c r="AA71" s="30" t="s">
        <v>492</v>
      </c>
    </row>
    <row r="72" spans="1:27" ht="47.25" x14ac:dyDescent="0.25">
      <c r="A72" s="192">
        <v>48</v>
      </c>
      <c r="B72" s="193" t="s">
        <v>539</v>
      </c>
      <c r="C72" s="193" t="s">
        <v>539</v>
      </c>
      <c r="D72" s="193" t="s">
        <v>539</v>
      </c>
      <c r="E72" s="193" t="s">
        <v>539</v>
      </c>
      <c r="F72" s="30">
        <v>0.4</v>
      </c>
      <c r="G72" s="30">
        <v>0.4</v>
      </c>
      <c r="H72" s="30">
        <v>0.4</v>
      </c>
      <c r="I72" s="30">
        <v>0.4</v>
      </c>
      <c r="J72" s="30" t="s">
        <v>294</v>
      </c>
      <c r="K72" s="30">
        <v>1</v>
      </c>
      <c r="L72" s="30">
        <v>1</v>
      </c>
      <c r="M72" s="30" t="s">
        <v>488</v>
      </c>
      <c r="N72" s="30" t="s">
        <v>489</v>
      </c>
      <c r="O72" s="30" t="s">
        <v>490</v>
      </c>
      <c r="P72" s="30" t="s">
        <v>490</v>
      </c>
      <c r="Q72" s="194">
        <v>1.98</v>
      </c>
      <c r="R72" s="194">
        <v>1.98</v>
      </c>
      <c r="S72" s="30">
        <v>2021</v>
      </c>
      <c r="T72" s="30" t="s">
        <v>294</v>
      </c>
      <c r="U72" s="30" t="s">
        <v>294</v>
      </c>
      <c r="V72" s="30" t="s">
        <v>491</v>
      </c>
      <c r="W72" s="30" t="s">
        <v>491</v>
      </c>
      <c r="X72" s="30" t="s">
        <v>492</v>
      </c>
      <c r="Y72" s="30" t="s">
        <v>492</v>
      </c>
      <c r="Z72" s="30" t="s">
        <v>492</v>
      </c>
      <c r="AA72" s="30" t="s">
        <v>492</v>
      </c>
    </row>
    <row r="73" spans="1:27" ht="47.25" x14ac:dyDescent="0.25">
      <c r="A73" s="192">
        <v>49</v>
      </c>
      <c r="B73" s="193" t="s">
        <v>540</v>
      </c>
      <c r="C73" s="193" t="s">
        <v>540</v>
      </c>
      <c r="D73" s="193" t="s">
        <v>540</v>
      </c>
      <c r="E73" s="193" t="s">
        <v>540</v>
      </c>
      <c r="F73" s="30">
        <v>0.4</v>
      </c>
      <c r="G73" s="30">
        <v>0.4</v>
      </c>
      <c r="H73" s="30">
        <v>0.4</v>
      </c>
      <c r="I73" s="30">
        <v>0.4</v>
      </c>
      <c r="J73" s="30" t="s">
        <v>294</v>
      </c>
      <c r="K73" s="30">
        <v>1</v>
      </c>
      <c r="L73" s="30">
        <v>1</v>
      </c>
      <c r="M73" s="30" t="s">
        <v>488</v>
      </c>
      <c r="N73" s="30" t="s">
        <v>489</v>
      </c>
      <c r="O73" s="30" t="s">
        <v>490</v>
      </c>
      <c r="P73" s="30" t="s">
        <v>490</v>
      </c>
      <c r="Q73" s="194">
        <v>3.15</v>
      </c>
      <c r="R73" s="194">
        <v>3.15</v>
      </c>
      <c r="S73" s="30">
        <v>2021</v>
      </c>
      <c r="T73" s="30" t="s">
        <v>294</v>
      </c>
      <c r="U73" s="30" t="s">
        <v>294</v>
      </c>
      <c r="V73" s="30" t="s">
        <v>491</v>
      </c>
      <c r="W73" s="30" t="s">
        <v>491</v>
      </c>
      <c r="X73" s="30" t="s">
        <v>492</v>
      </c>
      <c r="Y73" s="30" t="s">
        <v>492</v>
      </c>
      <c r="Z73" s="30" t="s">
        <v>492</v>
      </c>
      <c r="AA73" s="30" t="s">
        <v>492</v>
      </c>
    </row>
    <row r="74" spans="1:27" ht="47.25" x14ac:dyDescent="0.25">
      <c r="A74" s="192">
        <v>50</v>
      </c>
      <c r="B74" s="193" t="s">
        <v>541</v>
      </c>
      <c r="C74" s="193" t="s">
        <v>541</v>
      </c>
      <c r="D74" s="193" t="s">
        <v>541</v>
      </c>
      <c r="E74" s="193" t="s">
        <v>541</v>
      </c>
      <c r="F74" s="30">
        <v>0.4</v>
      </c>
      <c r="G74" s="30">
        <v>0.4</v>
      </c>
      <c r="H74" s="30">
        <v>0.4</v>
      </c>
      <c r="I74" s="30">
        <v>0.4</v>
      </c>
      <c r="J74" s="30" t="s">
        <v>294</v>
      </c>
      <c r="K74" s="30">
        <v>1</v>
      </c>
      <c r="L74" s="30">
        <v>1</v>
      </c>
      <c r="M74" s="30" t="s">
        <v>488</v>
      </c>
      <c r="N74" s="30" t="s">
        <v>489</v>
      </c>
      <c r="O74" s="30" t="s">
        <v>490</v>
      </c>
      <c r="P74" s="30" t="s">
        <v>490</v>
      </c>
      <c r="Q74" s="194">
        <v>2.0499999999999998</v>
      </c>
      <c r="R74" s="194">
        <v>2.0499999999999998</v>
      </c>
      <c r="S74" s="30">
        <v>2021</v>
      </c>
      <c r="T74" s="30" t="s">
        <v>294</v>
      </c>
      <c r="U74" s="30" t="s">
        <v>294</v>
      </c>
      <c r="V74" s="30" t="s">
        <v>491</v>
      </c>
      <c r="W74" s="30" t="s">
        <v>491</v>
      </c>
      <c r="X74" s="30" t="s">
        <v>492</v>
      </c>
      <c r="Y74" s="30" t="s">
        <v>492</v>
      </c>
      <c r="Z74" s="30" t="s">
        <v>492</v>
      </c>
      <c r="AA74" s="30" t="s">
        <v>492</v>
      </c>
    </row>
    <row r="75" spans="1:27" ht="47.25" x14ac:dyDescent="0.25">
      <c r="A75" s="192">
        <v>51</v>
      </c>
      <c r="B75" s="193" t="s">
        <v>542</v>
      </c>
      <c r="C75" s="193" t="s">
        <v>542</v>
      </c>
      <c r="D75" s="193" t="s">
        <v>542</v>
      </c>
      <c r="E75" s="193" t="s">
        <v>542</v>
      </c>
      <c r="F75" s="30">
        <v>0.4</v>
      </c>
      <c r="G75" s="30">
        <v>0.4</v>
      </c>
      <c r="H75" s="30">
        <v>0.4</v>
      </c>
      <c r="I75" s="30">
        <v>0.4</v>
      </c>
      <c r="J75" s="30" t="s">
        <v>294</v>
      </c>
      <c r="K75" s="30">
        <v>1</v>
      </c>
      <c r="L75" s="30">
        <v>1</v>
      </c>
      <c r="M75" s="30" t="s">
        <v>488</v>
      </c>
      <c r="N75" s="30" t="s">
        <v>489</v>
      </c>
      <c r="O75" s="30" t="s">
        <v>490</v>
      </c>
      <c r="P75" s="30" t="s">
        <v>490</v>
      </c>
      <c r="Q75" s="194">
        <v>2.67</v>
      </c>
      <c r="R75" s="194">
        <v>2.67</v>
      </c>
      <c r="S75" s="30">
        <v>2021</v>
      </c>
      <c r="T75" s="30" t="s">
        <v>294</v>
      </c>
      <c r="U75" s="30" t="s">
        <v>294</v>
      </c>
      <c r="V75" s="30" t="s">
        <v>491</v>
      </c>
      <c r="W75" s="30" t="s">
        <v>491</v>
      </c>
      <c r="X75" s="30" t="s">
        <v>492</v>
      </c>
      <c r="Y75" s="30" t="s">
        <v>492</v>
      </c>
      <c r="Z75" s="30" t="s">
        <v>492</v>
      </c>
      <c r="AA75" s="30" t="s">
        <v>492</v>
      </c>
    </row>
    <row r="76" spans="1:27" ht="47.25" x14ac:dyDescent="0.25">
      <c r="A76" s="192">
        <v>52</v>
      </c>
      <c r="B76" s="193" t="s">
        <v>543</v>
      </c>
      <c r="C76" s="193" t="s">
        <v>543</v>
      </c>
      <c r="D76" s="193" t="s">
        <v>543</v>
      </c>
      <c r="E76" s="193" t="s">
        <v>543</v>
      </c>
      <c r="F76" s="30">
        <v>0.4</v>
      </c>
      <c r="G76" s="30">
        <v>0.4</v>
      </c>
      <c r="H76" s="30">
        <v>0.4</v>
      </c>
      <c r="I76" s="30">
        <v>0.4</v>
      </c>
      <c r="J76" s="30" t="s">
        <v>294</v>
      </c>
      <c r="K76" s="30">
        <v>1</v>
      </c>
      <c r="L76" s="30">
        <v>1</v>
      </c>
      <c r="M76" s="30" t="s">
        <v>488</v>
      </c>
      <c r="N76" s="30" t="s">
        <v>489</v>
      </c>
      <c r="O76" s="30" t="s">
        <v>490</v>
      </c>
      <c r="P76" s="30" t="s">
        <v>490</v>
      </c>
      <c r="Q76" s="194">
        <v>1.92</v>
      </c>
      <c r="R76" s="194">
        <v>1.92</v>
      </c>
      <c r="S76" s="30">
        <v>2021</v>
      </c>
      <c r="T76" s="30" t="s">
        <v>294</v>
      </c>
      <c r="U76" s="30" t="s">
        <v>294</v>
      </c>
      <c r="V76" s="30" t="s">
        <v>491</v>
      </c>
      <c r="W76" s="30" t="s">
        <v>491</v>
      </c>
      <c r="X76" s="30" t="s">
        <v>492</v>
      </c>
      <c r="Y76" s="30" t="s">
        <v>492</v>
      </c>
      <c r="Z76" s="30" t="s">
        <v>492</v>
      </c>
      <c r="AA76" s="30" t="s">
        <v>492</v>
      </c>
    </row>
    <row r="77" spans="1:27" ht="47.25" x14ac:dyDescent="0.25">
      <c r="A77" s="192">
        <v>53</v>
      </c>
      <c r="B77" s="193" t="s">
        <v>544</v>
      </c>
      <c r="C77" s="193" t="s">
        <v>544</v>
      </c>
      <c r="D77" s="193" t="s">
        <v>544</v>
      </c>
      <c r="E77" s="193" t="s">
        <v>544</v>
      </c>
      <c r="F77" s="30">
        <v>0.4</v>
      </c>
      <c r="G77" s="30">
        <v>0.4</v>
      </c>
      <c r="H77" s="30">
        <v>0.4</v>
      </c>
      <c r="I77" s="30">
        <v>0.4</v>
      </c>
      <c r="J77" s="30" t="s">
        <v>294</v>
      </c>
      <c r="K77" s="30">
        <v>1</v>
      </c>
      <c r="L77" s="30">
        <v>1</v>
      </c>
      <c r="M77" s="30" t="s">
        <v>488</v>
      </c>
      <c r="N77" s="30" t="s">
        <v>489</v>
      </c>
      <c r="O77" s="30" t="s">
        <v>490</v>
      </c>
      <c r="P77" s="30" t="s">
        <v>490</v>
      </c>
      <c r="Q77" s="194">
        <v>1.97</v>
      </c>
      <c r="R77" s="194">
        <v>1.97</v>
      </c>
      <c r="S77" s="30">
        <v>2021</v>
      </c>
      <c r="T77" s="30" t="s">
        <v>294</v>
      </c>
      <c r="U77" s="30" t="s">
        <v>294</v>
      </c>
      <c r="V77" s="30" t="s">
        <v>491</v>
      </c>
      <c r="W77" s="30" t="s">
        <v>491</v>
      </c>
      <c r="X77" s="30" t="s">
        <v>492</v>
      </c>
      <c r="Y77" s="30" t="s">
        <v>492</v>
      </c>
      <c r="Z77" s="30" t="s">
        <v>492</v>
      </c>
      <c r="AA77" s="30" t="s">
        <v>492</v>
      </c>
    </row>
    <row r="78" spans="1:27" ht="47.25" x14ac:dyDescent="0.25">
      <c r="A78" s="192">
        <v>54</v>
      </c>
      <c r="B78" s="193" t="s">
        <v>545</v>
      </c>
      <c r="C78" s="193" t="s">
        <v>545</v>
      </c>
      <c r="D78" s="193" t="s">
        <v>545</v>
      </c>
      <c r="E78" s="193" t="s">
        <v>545</v>
      </c>
      <c r="F78" s="30">
        <v>0.4</v>
      </c>
      <c r="G78" s="30">
        <v>0.4</v>
      </c>
      <c r="H78" s="30">
        <v>0.4</v>
      </c>
      <c r="I78" s="30">
        <v>0.4</v>
      </c>
      <c r="J78" s="30" t="s">
        <v>294</v>
      </c>
      <c r="K78" s="30">
        <v>1</v>
      </c>
      <c r="L78" s="30">
        <v>1</v>
      </c>
      <c r="M78" s="30" t="s">
        <v>488</v>
      </c>
      <c r="N78" s="30" t="s">
        <v>489</v>
      </c>
      <c r="O78" s="30" t="s">
        <v>490</v>
      </c>
      <c r="P78" s="30" t="s">
        <v>490</v>
      </c>
      <c r="Q78" s="194">
        <v>2.5299999999999998</v>
      </c>
      <c r="R78" s="194">
        <v>2.5299999999999998</v>
      </c>
      <c r="S78" s="30">
        <v>2021</v>
      </c>
      <c r="T78" s="30" t="s">
        <v>294</v>
      </c>
      <c r="U78" s="30" t="s">
        <v>294</v>
      </c>
      <c r="V78" s="30" t="s">
        <v>491</v>
      </c>
      <c r="W78" s="30" t="s">
        <v>491</v>
      </c>
      <c r="X78" s="30" t="s">
        <v>492</v>
      </c>
      <c r="Y78" s="30" t="s">
        <v>492</v>
      </c>
      <c r="Z78" s="30" t="s">
        <v>492</v>
      </c>
      <c r="AA78" s="30" t="s">
        <v>492</v>
      </c>
    </row>
    <row r="79" spans="1:27" ht="47.25" x14ac:dyDescent="0.25">
      <c r="A79" s="192">
        <v>55</v>
      </c>
      <c r="B79" s="193" t="s">
        <v>546</v>
      </c>
      <c r="C79" s="193" t="s">
        <v>546</v>
      </c>
      <c r="D79" s="193" t="s">
        <v>546</v>
      </c>
      <c r="E79" s="193" t="s">
        <v>546</v>
      </c>
      <c r="F79" s="30">
        <v>0.4</v>
      </c>
      <c r="G79" s="30">
        <v>0.4</v>
      </c>
      <c r="H79" s="30">
        <v>0.4</v>
      </c>
      <c r="I79" s="30">
        <v>0.4</v>
      </c>
      <c r="J79" s="30" t="s">
        <v>294</v>
      </c>
      <c r="K79" s="30">
        <v>1</v>
      </c>
      <c r="L79" s="30">
        <v>1</v>
      </c>
      <c r="M79" s="30" t="s">
        <v>488</v>
      </c>
      <c r="N79" s="30" t="s">
        <v>489</v>
      </c>
      <c r="O79" s="30" t="s">
        <v>490</v>
      </c>
      <c r="P79" s="30" t="s">
        <v>490</v>
      </c>
      <c r="Q79" s="194">
        <v>3.1749999999999998</v>
      </c>
      <c r="R79" s="194">
        <v>3.1749999999999998</v>
      </c>
      <c r="S79" s="30">
        <v>2021</v>
      </c>
      <c r="T79" s="30" t="s">
        <v>294</v>
      </c>
      <c r="U79" s="30" t="s">
        <v>294</v>
      </c>
      <c r="V79" s="30" t="s">
        <v>491</v>
      </c>
      <c r="W79" s="30" t="s">
        <v>491</v>
      </c>
      <c r="X79" s="30" t="s">
        <v>492</v>
      </c>
      <c r="Y79" s="30" t="s">
        <v>492</v>
      </c>
      <c r="Z79" s="30" t="s">
        <v>492</v>
      </c>
      <c r="AA79" s="30" t="s">
        <v>492</v>
      </c>
    </row>
    <row r="80" spans="1:27" ht="47.25" x14ac:dyDescent="0.25">
      <c r="A80" s="192">
        <v>56</v>
      </c>
      <c r="B80" s="193" t="s">
        <v>547</v>
      </c>
      <c r="C80" s="193" t="s">
        <v>547</v>
      </c>
      <c r="D80" s="193" t="s">
        <v>547</v>
      </c>
      <c r="E80" s="193" t="s">
        <v>547</v>
      </c>
      <c r="F80" s="30">
        <v>0.4</v>
      </c>
      <c r="G80" s="30">
        <v>0.4</v>
      </c>
      <c r="H80" s="30">
        <v>0.4</v>
      </c>
      <c r="I80" s="30">
        <v>0.4</v>
      </c>
      <c r="J80" s="30" t="s">
        <v>294</v>
      </c>
      <c r="K80" s="30">
        <v>1</v>
      </c>
      <c r="L80" s="30">
        <v>1</v>
      </c>
      <c r="M80" s="30" t="s">
        <v>488</v>
      </c>
      <c r="N80" s="30" t="s">
        <v>489</v>
      </c>
      <c r="O80" s="30" t="s">
        <v>490</v>
      </c>
      <c r="P80" s="30" t="s">
        <v>490</v>
      </c>
      <c r="Q80" s="194">
        <v>1.014</v>
      </c>
      <c r="R80" s="194">
        <v>1.014</v>
      </c>
      <c r="S80" s="30">
        <v>2021</v>
      </c>
      <c r="T80" s="30" t="s">
        <v>294</v>
      </c>
      <c r="U80" s="30" t="s">
        <v>294</v>
      </c>
      <c r="V80" s="30" t="s">
        <v>491</v>
      </c>
      <c r="W80" s="30" t="s">
        <v>491</v>
      </c>
      <c r="X80" s="30" t="s">
        <v>492</v>
      </c>
      <c r="Y80" s="30" t="s">
        <v>492</v>
      </c>
      <c r="Z80" s="30" t="s">
        <v>492</v>
      </c>
      <c r="AA80" s="30" t="s">
        <v>492</v>
      </c>
    </row>
    <row r="81" spans="1:27" ht="47.25" x14ac:dyDescent="0.25">
      <c r="A81" s="192">
        <v>57</v>
      </c>
      <c r="B81" s="193" t="s">
        <v>548</v>
      </c>
      <c r="C81" s="193" t="s">
        <v>548</v>
      </c>
      <c r="D81" s="193" t="s">
        <v>548</v>
      </c>
      <c r="E81" s="193" t="s">
        <v>548</v>
      </c>
      <c r="F81" s="30">
        <v>0.4</v>
      </c>
      <c r="G81" s="30">
        <v>0.4</v>
      </c>
      <c r="H81" s="30">
        <v>0.4</v>
      </c>
      <c r="I81" s="30">
        <v>0.4</v>
      </c>
      <c r="J81" s="30" t="s">
        <v>294</v>
      </c>
      <c r="K81" s="30">
        <v>1</v>
      </c>
      <c r="L81" s="30">
        <v>1</v>
      </c>
      <c r="M81" s="30" t="s">
        <v>488</v>
      </c>
      <c r="N81" s="30" t="s">
        <v>489</v>
      </c>
      <c r="O81" s="30" t="s">
        <v>490</v>
      </c>
      <c r="P81" s="30" t="s">
        <v>490</v>
      </c>
      <c r="Q81" s="194">
        <v>3.25</v>
      </c>
      <c r="R81" s="194">
        <v>3.25</v>
      </c>
      <c r="S81" s="30">
        <v>2021</v>
      </c>
      <c r="T81" s="30" t="s">
        <v>294</v>
      </c>
      <c r="U81" s="30" t="s">
        <v>294</v>
      </c>
      <c r="V81" s="30" t="s">
        <v>491</v>
      </c>
      <c r="W81" s="30" t="s">
        <v>491</v>
      </c>
      <c r="X81" s="30" t="s">
        <v>492</v>
      </c>
      <c r="Y81" s="30" t="s">
        <v>492</v>
      </c>
      <c r="Z81" s="30" t="s">
        <v>492</v>
      </c>
      <c r="AA81" s="30" t="s">
        <v>492</v>
      </c>
    </row>
    <row r="82" spans="1:27" ht="47.25" x14ac:dyDescent="0.25">
      <c r="A82" s="192">
        <v>58</v>
      </c>
      <c r="B82" s="193" t="s">
        <v>549</v>
      </c>
      <c r="C82" s="193" t="s">
        <v>549</v>
      </c>
      <c r="D82" s="193" t="s">
        <v>549</v>
      </c>
      <c r="E82" s="193" t="s">
        <v>549</v>
      </c>
      <c r="F82" s="30">
        <v>0.4</v>
      </c>
      <c r="G82" s="30">
        <v>0.4</v>
      </c>
      <c r="H82" s="30">
        <v>0.4</v>
      </c>
      <c r="I82" s="30">
        <v>0.4</v>
      </c>
      <c r="J82" s="30" t="s">
        <v>294</v>
      </c>
      <c r="K82" s="30">
        <v>1</v>
      </c>
      <c r="L82" s="30">
        <v>1</v>
      </c>
      <c r="M82" s="30" t="s">
        <v>488</v>
      </c>
      <c r="N82" s="30" t="s">
        <v>489</v>
      </c>
      <c r="O82" s="30" t="s">
        <v>490</v>
      </c>
      <c r="P82" s="30" t="s">
        <v>490</v>
      </c>
      <c r="Q82" s="194">
        <v>3.05</v>
      </c>
      <c r="R82" s="194">
        <v>3.05</v>
      </c>
      <c r="S82" s="30">
        <v>2021</v>
      </c>
      <c r="T82" s="30" t="s">
        <v>294</v>
      </c>
      <c r="U82" s="30" t="s">
        <v>294</v>
      </c>
      <c r="V82" s="30" t="s">
        <v>491</v>
      </c>
      <c r="W82" s="30" t="s">
        <v>491</v>
      </c>
      <c r="X82" s="30" t="s">
        <v>492</v>
      </c>
      <c r="Y82" s="30" t="s">
        <v>492</v>
      </c>
      <c r="Z82" s="30" t="s">
        <v>492</v>
      </c>
      <c r="AA82" s="30" t="s">
        <v>492</v>
      </c>
    </row>
    <row r="83" spans="1:27" ht="47.25" x14ac:dyDescent="0.25">
      <c r="A83" s="192">
        <v>59</v>
      </c>
      <c r="B83" s="193" t="s">
        <v>550</v>
      </c>
      <c r="C83" s="193" t="s">
        <v>550</v>
      </c>
      <c r="D83" s="193" t="s">
        <v>550</v>
      </c>
      <c r="E83" s="193" t="s">
        <v>550</v>
      </c>
      <c r="F83" s="30">
        <v>0.4</v>
      </c>
      <c r="G83" s="30">
        <v>0.4</v>
      </c>
      <c r="H83" s="30">
        <v>0.4</v>
      </c>
      <c r="I83" s="30">
        <v>0.4</v>
      </c>
      <c r="J83" s="30" t="s">
        <v>294</v>
      </c>
      <c r="K83" s="30">
        <v>1</v>
      </c>
      <c r="L83" s="30">
        <v>1</v>
      </c>
      <c r="M83" s="30" t="s">
        <v>488</v>
      </c>
      <c r="N83" s="30" t="s">
        <v>489</v>
      </c>
      <c r="O83" s="30" t="s">
        <v>490</v>
      </c>
      <c r="P83" s="30" t="s">
        <v>490</v>
      </c>
      <c r="Q83" s="194">
        <v>2.7</v>
      </c>
      <c r="R83" s="194">
        <v>2.7</v>
      </c>
      <c r="S83" s="30">
        <v>2021</v>
      </c>
      <c r="T83" s="30" t="s">
        <v>294</v>
      </c>
      <c r="U83" s="30" t="s">
        <v>294</v>
      </c>
      <c r="V83" s="30" t="s">
        <v>491</v>
      </c>
      <c r="W83" s="30" t="s">
        <v>491</v>
      </c>
      <c r="X83" s="30" t="s">
        <v>492</v>
      </c>
      <c r="Y83" s="30" t="s">
        <v>492</v>
      </c>
      <c r="Z83" s="30" t="s">
        <v>492</v>
      </c>
      <c r="AA83" s="30" t="s">
        <v>492</v>
      </c>
    </row>
    <row r="84" spans="1:27" ht="47.25" x14ac:dyDescent="0.25">
      <c r="A84" s="192">
        <v>60</v>
      </c>
      <c r="B84" s="193" t="s">
        <v>551</v>
      </c>
      <c r="C84" s="193" t="s">
        <v>551</v>
      </c>
      <c r="D84" s="193" t="s">
        <v>551</v>
      </c>
      <c r="E84" s="193" t="s">
        <v>551</v>
      </c>
      <c r="F84" s="30">
        <v>0.4</v>
      </c>
      <c r="G84" s="30">
        <v>0.4</v>
      </c>
      <c r="H84" s="30">
        <v>0.4</v>
      </c>
      <c r="I84" s="30">
        <v>0.4</v>
      </c>
      <c r="J84" s="30" t="s">
        <v>294</v>
      </c>
      <c r="K84" s="30">
        <v>1</v>
      </c>
      <c r="L84" s="30">
        <v>1</v>
      </c>
      <c r="M84" s="30" t="s">
        <v>488</v>
      </c>
      <c r="N84" s="30" t="s">
        <v>489</v>
      </c>
      <c r="O84" s="30" t="s">
        <v>490</v>
      </c>
      <c r="P84" s="30" t="s">
        <v>490</v>
      </c>
      <c r="Q84" s="194">
        <v>1.857</v>
      </c>
      <c r="R84" s="194">
        <v>1.857</v>
      </c>
      <c r="S84" s="30">
        <v>2021</v>
      </c>
      <c r="T84" s="30" t="s">
        <v>294</v>
      </c>
      <c r="U84" s="30" t="s">
        <v>294</v>
      </c>
      <c r="V84" s="30" t="s">
        <v>491</v>
      </c>
      <c r="W84" s="30" t="s">
        <v>491</v>
      </c>
      <c r="X84" s="30" t="s">
        <v>492</v>
      </c>
      <c r="Y84" s="30" t="s">
        <v>492</v>
      </c>
      <c r="Z84" s="30" t="s">
        <v>492</v>
      </c>
      <c r="AA84" s="30" t="s">
        <v>492</v>
      </c>
    </row>
    <row r="85" spans="1:27" ht="47.25" x14ac:dyDescent="0.25">
      <c r="A85" s="192">
        <v>61</v>
      </c>
      <c r="B85" s="193" t="s">
        <v>552</v>
      </c>
      <c r="C85" s="193" t="s">
        <v>552</v>
      </c>
      <c r="D85" s="193" t="s">
        <v>552</v>
      </c>
      <c r="E85" s="193" t="s">
        <v>552</v>
      </c>
      <c r="F85" s="30">
        <v>0.4</v>
      </c>
      <c r="G85" s="30">
        <v>0.4</v>
      </c>
      <c r="H85" s="30">
        <v>0.4</v>
      </c>
      <c r="I85" s="30">
        <v>0.4</v>
      </c>
      <c r="J85" s="30" t="s">
        <v>294</v>
      </c>
      <c r="K85" s="30">
        <v>1</v>
      </c>
      <c r="L85" s="30">
        <v>1</v>
      </c>
      <c r="M85" s="30" t="s">
        <v>488</v>
      </c>
      <c r="N85" s="30" t="s">
        <v>489</v>
      </c>
      <c r="O85" s="30" t="s">
        <v>490</v>
      </c>
      <c r="P85" s="30" t="s">
        <v>490</v>
      </c>
      <c r="Q85" s="194">
        <v>3.5640000000000001</v>
      </c>
      <c r="R85" s="194">
        <v>3.5640000000000001</v>
      </c>
      <c r="S85" s="30">
        <v>2021</v>
      </c>
      <c r="T85" s="30" t="s">
        <v>294</v>
      </c>
      <c r="U85" s="30" t="s">
        <v>294</v>
      </c>
      <c r="V85" s="30" t="s">
        <v>491</v>
      </c>
      <c r="W85" s="30" t="s">
        <v>491</v>
      </c>
      <c r="X85" s="30" t="s">
        <v>492</v>
      </c>
      <c r="Y85" s="30" t="s">
        <v>492</v>
      </c>
      <c r="Z85" s="30" t="s">
        <v>492</v>
      </c>
      <c r="AA85" s="30" t="s">
        <v>492</v>
      </c>
    </row>
    <row r="86" spans="1:27" ht="47.25" x14ac:dyDescent="0.25">
      <c r="A86" s="192">
        <v>62</v>
      </c>
      <c r="B86" s="193" t="s">
        <v>553</v>
      </c>
      <c r="C86" s="193" t="s">
        <v>553</v>
      </c>
      <c r="D86" s="193" t="s">
        <v>553</v>
      </c>
      <c r="E86" s="193" t="s">
        <v>553</v>
      </c>
      <c r="F86" s="30">
        <v>0.4</v>
      </c>
      <c r="G86" s="30">
        <v>0.4</v>
      </c>
      <c r="H86" s="30">
        <v>0.4</v>
      </c>
      <c r="I86" s="30">
        <v>0.4</v>
      </c>
      <c r="J86" s="30" t="s">
        <v>294</v>
      </c>
      <c r="K86" s="30">
        <v>1</v>
      </c>
      <c r="L86" s="30">
        <v>1</v>
      </c>
      <c r="M86" s="30" t="s">
        <v>488</v>
      </c>
      <c r="N86" s="30" t="s">
        <v>489</v>
      </c>
      <c r="O86" s="30" t="s">
        <v>490</v>
      </c>
      <c r="P86" s="30" t="s">
        <v>490</v>
      </c>
      <c r="Q86" s="194">
        <v>2.23</v>
      </c>
      <c r="R86" s="194">
        <v>2.23</v>
      </c>
      <c r="S86" s="30">
        <v>2021</v>
      </c>
      <c r="T86" s="30" t="s">
        <v>294</v>
      </c>
      <c r="U86" s="30" t="s">
        <v>294</v>
      </c>
      <c r="V86" s="30" t="s">
        <v>491</v>
      </c>
      <c r="W86" s="30" t="s">
        <v>491</v>
      </c>
      <c r="X86" s="30" t="s">
        <v>492</v>
      </c>
      <c r="Y86" s="30" t="s">
        <v>492</v>
      </c>
      <c r="Z86" s="30" t="s">
        <v>492</v>
      </c>
      <c r="AA86" s="30" t="s">
        <v>492</v>
      </c>
    </row>
    <row r="87" spans="1:27" ht="47.25" x14ac:dyDescent="0.25">
      <c r="A87" s="192">
        <v>63</v>
      </c>
      <c r="B87" s="193" t="s">
        <v>554</v>
      </c>
      <c r="C87" s="193" t="s">
        <v>554</v>
      </c>
      <c r="D87" s="193" t="s">
        <v>554</v>
      </c>
      <c r="E87" s="193" t="s">
        <v>554</v>
      </c>
      <c r="F87" s="30">
        <v>0.4</v>
      </c>
      <c r="G87" s="30">
        <v>0.4</v>
      </c>
      <c r="H87" s="30">
        <v>0.4</v>
      </c>
      <c r="I87" s="30">
        <v>0.4</v>
      </c>
      <c r="J87" s="30" t="s">
        <v>294</v>
      </c>
      <c r="K87" s="30">
        <v>1</v>
      </c>
      <c r="L87" s="30">
        <v>1</v>
      </c>
      <c r="M87" s="30" t="s">
        <v>488</v>
      </c>
      <c r="N87" s="30" t="s">
        <v>489</v>
      </c>
      <c r="O87" s="30" t="s">
        <v>490</v>
      </c>
      <c r="P87" s="30" t="s">
        <v>490</v>
      </c>
      <c r="Q87" s="194">
        <v>2.4300000000000002</v>
      </c>
      <c r="R87" s="194">
        <v>2.4300000000000002</v>
      </c>
      <c r="S87" s="30">
        <v>2021</v>
      </c>
      <c r="T87" s="30" t="s">
        <v>294</v>
      </c>
      <c r="U87" s="30" t="s">
        <v>294</v>
      </c>
      <c r="V87" s="30" t="s">
        <v>491</v>
      </c>
      <c r="W87" s="30" t="s">
        <v>491</v>
      </c>
      <c r="X87" s="30" t="s">
        <v>492</v>
      </c>
      <c r="Y87" s="30" t="s">
        <v>492</v>
      </c>
      <c r="Z87" s="30" t="s">
        <v>492</v>
      </c>
      <c r="AA87" s="30" t="s">
        <v>492</v>
      </c>
    </row>
    <row r="88" spans="1:27" ht="47.25" x14ac:dyDescent="0.25">
      <c r="A88" s="192">
        <v>64</v>
      </c>
      <c r="B88" s="193" t="s">
        <v>555</v>
      </c>
      <c r="C88" s="193" t="s">
        <v>555</v>
      </c>
      <c r="D88" s="193" t="s">
        <v>555</v>
      </c>
      <c r="E88" s="193" t="s">
        <v>555</v>
      </c>
      <c r="F88" s="30">
        <v>0.4</v>
      </c>
      <c r="G88" s="30">
        <v>0.4</v>
      </c>
      <c r="H88" s="30">
        <v>0.4</v>
      </c>
      <c r="I88" s="30">
        <v>0.4</v>
      </c>
      <c r="J88" s="30" t="s">
        <v>294</v>
      </c>
      <c r="K88" s="30">
        <v>1</v>
      </c>
      <c r="L88" s="30">
        <v>1</v>
      </c>
      <c r="M88" s="30" t="s">
        <v>488</v>
      </c>
      <c r="N88" s="30" t="s">
        <v>489</v>
      </c>
      <c r="O88" s="30" t="s">
        <v>490</v>
      </c>
      <c r="P88" s="30" t="s">
        <v>490</v>
      </c>
      <c r="Q88" s="194">
        <v>2.2000000000000002</v>
      </c>
      <c r="R88" s="194">
        <v>2.2000000000000002</v>
      </c>
      <c r="S88" s="30">
        <v>2021</v>
      </c>
      <c r="T88" s="30" t="s">
        <v>294</v>
      </c>
      <c r="U88" s="30" t="s">
        <v>294</v>
      </c>
      <c r="V88" s="30" t="s">
        <v>491</v>
      </c>
      <c r="W88" s="30" t="s">
        <v>491</v>
      </c>
      <c r="X88" s="30" t="s">
        <v>492</v>
      </c>
      <c r="Y88" s="30" t="s">
        <v>492</v>
      </c>
      <c r="Z88" s="30" t="s">
        <v>492</v>
      </c>
      <c r="AA88" s="30" t="s">
        <v>492</v>
      </c>
    </row>
    <row r="89" spans="1:27" ht="47.25" x14ac:dyDescent="0.25">
      <c r="A89" s="192">
        <v>65</v>
      </c>
      <c r="B89" s="193" t="s">
        <v>556</v>
      </c>
      <c r="C89" s="193" t="s">
        <v>556</v>
      </c>
      <c r="D89" s="193" t="s">
        <v>556</v>
      </c>
      <c r="E89" s="193" t="s">
        <v>556</v>
      </c>
      <c r="F89" s="30">
        <v>0.4</v>
      </c>
      <c r="G89" s="30">
        <v>0.4</v>
      </c>
      <c r="H89" s="30">
        <v>0.4</v>
      </c>
      <c r="I89" s="30">
        <v>0.4</v>
      </c>
      <c r="J89" s="30" t="s">
        <v>294</v>
      </c>
      <c r="K89" s="30">
        <v>1</v>
      </c>
      <c r="L89" s="30">
        <v>1</v>
      </c>
      <c r="M89" s="30" t="s">
        <v>488</v>
      </c>
      <c r="N89" s="30" t="s">
        <v>489</v>
      </c>
      <c r="O89" s="30" t="s">
        <v>490</v>
      </c>
      <c r="P89" s="30" t="s">
        <v>490</v>
      </c>
      <c r="Q89" s="194">
        <v>3.2</v>
      </c>
      <c r="R89" s="194">
        <v>3.2</v>
      </c>
      <c r="S89" s="30">
        <v>2021</v>
      </c>
      <c r="T89" s="30" t="s">
        <v>294</v>
      </c>
      <c r="U89" s="30" t="s">
        <v>294</v>
      </c>
      <c r="V89" s="30" t="s">
        <v>491</v>
      </c>
      <c r="W89" s="30" t="s">
        <v>491</v>
      </c>
      <c r="X89" s="30" t="s">
        <v>492</v>
      </c>
      <c r="Y89" s="30" t="s">
        <v>492</v>
      </c>
      <c r="Z89" s="30" t="s">
        <v>492</v>
      </c>
      <c r="AA89" s="30" t="s">
        <v>492</v>
      </c>
    </row>
    <row r="90" spans="1:27" ht="47.25" x14ac:dyDescent="0.25">
      <c r="A90" s="192">
        <v>66</v>
      </c>
      <c r="B90" s="193" t="s">
        <v>557</v>
      </c>
      <c r="C90" s="193" t="s">
        <v>557</v>
      </c>
      <c r="D90" s="193" t="s">
        <v>557</v>
      </c>
      <c r="E90" s="193" t="s">
        <v>557</v>
      </c>
      <c r="F90" s="30">
        <v>0.4</v>
      </c>
      <c r="G90" s="30">
        <v>0.4</v>
      </c>
      <c r="H90" s="30">
        <v>0.4</v>
      </c>
      <c r="I90" s="30">
        <v>0.4</v>
      </c>
      <c r="J90" s="30" t="s">
        <v>294</v>
      </c>
      <c r="K90" s="30">
        <v>1</v>
      </c>
      <c r="L90" s="30">
        <v>1</v>
      </c>
      <c r="M90" s="30" t="s">
        <v>488</v>
      </c>
      <c r="N90" s="30" t="s">
        <v>489</v>
      </c>
      <c r="O90" s="30" t="s">
        <v>490</v>
      </c>
      <c r="P90" s="30" t="s">
        <v>490</v>
      </c>
      <c r="Q90" s="194">
        <v>2.33</v>
      </c>
      <c r="R90" s="194">
        <v>2.33</v>
      </c>
      <c r="S90" s="30">
        <v>2021</v>
      </c>
      <c r="T90" s="30" t="s">
        <v>294</v>
      </c>
      <c r="U90" s="30" t="s">
        <v>294</v>
      </c>
      <c r="V90" s="30" t="s">
        <v>491</v>
      </c>
      <c r="W90" s="30" t="s">
        <v>491</v>
      </c>
      <c r="X90" s="30" t="s">
        <v>492</v>
      </c>
      <c r="Y90" s="30" t="s">
        <v>492</v>
      </c>
      <c r="Z90" s="30" t="s">
        <v>492</v>
      </c>
      <c r="AA90" s="30" t="s">
        <v>492</v>
      </c>
    </row>
    <row r="91" spans="1:27" ht="47.25" x14ac:dyDescent="0.25">
      <c r="A91" s="192">
        <v>67</v>
      </c>
      <c r="B91" s="193" t="s">
        <v>558</v>
      </c>
      <c r="C91" s="193" t="s">
        <v>558</v>
      </c>
      <c r="D91" s="193" t="s">
        <v>558</v>
      </c>
      <c r="E91" s="193" t="s">
        <v>558</v>
      </c>
      <c r="F91" s="30">
        <v>0.4</v>
      </c>
      <c r="G91" s="30">
        <v>0.4</v>
      </c>
      <c r="H91" s="30">
        <v>0.4</v>
      </c>
      <c r="I91" s="30">
        <v>0.4</v>
      </c>
      <c r="J91" s="30" t="s">
        <v>294</v>
      </c>
      <c r="K91" s="30">
        <v>1</v>
      </c>
      <c r="L91" s="30">
        <v>1</v>
      </c>
      <c r="M91" s="30" t="s">
        <v>488</v>
      </c>
      <c r="N91" s="30" t="s">
        <v>489</v>
      </c>
      <c r="O91" s="30" t="s">
        <v>490</v>
      </c>
      <c r="P91" s="30" t="s">
        <v>490</v>
      </c>
      <c r="Q91" s="194">
        <v>2.09</v>
      </c>
      <c r="R91" s="194">
        <v>2.09</v>
      </c>
      <c r="S91" s="30">
        <v>2021</v>
      </c>
      <c r="T91" s="30" t="s">
        <v>294</v>
      </c>
      <c r="U91" s="30" t="s">
        <v>294</v>
      </c>
      <c r="V91" s="30" t="s">
        <v>491</v>
      </c>
      <c r="W91" s="30" t="s">
        <v>491</v>
      </c>
      <c r="X91" s="30" t="s">
        <v>492</v>
      </c>
      <c r="Y91" s="30" t="s">
        <v>492</v>
      </c>
      <c r="Z91" s="30" t="s">
        <v>492</v>
      </c>
      <c r="AA91" s="30" t="s">
        <v>492</v>
      </c>
    </row>
    <row r="92" spans="1:27" ht="47.25" x14ac:dyDescent="0.25">
      <c r="A92" s="192">
        <v>68</v>
      </c>
      <c r="B92" s="193" t="s">
        <v>559</v>
      </c>
      <c r="C92" s="193" t="s">
        <v>559</v>
      </c>
      <c r="D92" s="193" t="s">
        <v>559</v>
      </c>
      <c r="E92" s="193" t="s">
        <v>559</v>
      </c>
      <c r="F92" s="30">
        <v>0.4</v>
      </c>
      <c r="G92" s="30">
        <v>0.4</v>
      </c>
      <c r="H92" s="30">
        <v>0.4</v>
      </c>
      <c r="I92" s="30">
        <v>0.4</v>
      </c>
      <c r="J92" s="30" t="s">
        <v>294</v>
      </c>
      <c r="K92" s="30">
        <v>1</v>
      </c>
      <c r="L92" s="30">
        <v>1</v>
      </c>
      <c r="M92" s="30" t="s">
        <v>488</v>
      </c>
      <c r="N92" s="30" t="s">
        <v>489</v>
      </c>
      <c r="O92" s="30" t="s">
        <v>490</v>
      </c>
      <c r="P92" s="30" t="s">
        <v>490</v>
      </c>
      <c r="Q92" s="194">
        <v>2.056</v>
      </c>
      <c r="R92" s="194">
        <v>2.056</v>
      </c>
      <c r="S92" s="30">
        <v>2021</v>
      </c>
      <c r="T92" s="30" t="s">
        <v>294</v>
      </c>
      <c r="U92" s="30" t="s">
        <v>294</v>
      </c>
      <c r="V92" s="30" t="s">
        <v>491</v>
      </c>
      <c r="W92" s="30" t="s">
        <v>491</v>
      </c>
      <c r="X92" s="30" t="s">
        <v>492</v>
      </c>
      <c r="Y92" s="30" t="s">
        <v>492</v>
      </c>
      <c r="Z92" s="30" t="s">
        <v>492</v>
      </c>
      <c r="AA92" s="30" t="s">
        <v>492</v>
      </c>
    </row>
    <row r="93" spans="1:27" ht="47.25" x14ac:dyDescent="0.25">
      <c r="A93" s="192">
        <v>69</v>
      </c>
      <c r="B93" s="193" t="s">
        <v>560</v>
      </c>
      <c r="C93" s="193" t="s">
        <v>560</v>
      </c>
      <c r="D93" s="193" t="s">
        <v>560</v>
      </c>
      <c r="E93" s="193" t="s">
        <v>560</v>
      </c>
      <c r="F93" s="30">
        <v>0.4</v>
      </c>
      <c r="G93" s="30">
        <v>0.4</v>
      </c>
      <c r="H93" s="30">
        <v>0.4</v>
      </c>
      <c r="I93" s="30">
        <v>0.4</v>
      </c>
      <c r="J93" s="30" t="s">
        <v>294</v>
      </c>
      <c r="K93" s="30">
        <v>1</v>
      </c>
      <c r="L93" s="30">
        <v>1</v>
      </c>
      <c r="M93" s="30" t="s">
        <v>488</v>
      </c>
      <c r="N93" s="30" t="s">
        <v>489</v>
      </c>
      <c r="O93" s="30" t="s">
        <v>490</v>
      </c>
      <c r="P93" s="30" t="s">
        <v>490</v>
      </c>
      <c r="Q93" s="194">
        <v>1.431</v>
      </c>
      <c r="R93" s="194">
        <v>1.431</v>
      </c>
      <c r="S93" s="30">
        <v>2021</v>
      </c>
      <c r="T93" s="30" t="s">
        <v>294</v>
      </c>
      <c r="U93" s="30" t="s">
        <v>294</v>
      </c>
      <c r="V93" s="30" t="s">
        <v>491</v>
      </c>
      <c r="W93" s="30" t="s">
        <v>491</v>
      </c>
      <c r="X93" s="30" t="s">
        <v>492</v>
      </c>
      <c r="Y93" s="30" t="s">
        <v>492</v>
      </c>
      <c r="Z93" s="30" t="s">
        <v>492</v>
      </c>
      <c r="AA93" s="30" t="s">
        <v>492</v>
      </c>
    </row>
    <row r="94" spans="1:27" ht="47.25" x14ac:dyDescent="0.25">
      <c r="A94" s="192">
        <v>70</v>
      </c>
      <c r="B94" s="193" t="s">
        <v>561</v>
      </c>
      <c r="C94" s="193" t="s">
        <v>561</v>
      </c>
      <c r="D94" s="193" t="s">
        <v>561</v>
      </c>
      <c r="E94" s="193" t="s">
        <v>561</v>
      </c>
      <c r="F94" s="30">
        <v>0.4</v>
      </c>
      <c r="G94" s="30">
        <v>0.4</v>
      </c>
      <c r="H94" s="30">
        <v>0.4</v>
      </c>
      <c r="I94" s="30">
        <v>0.4</v>
      </c>
      <c r="J94" s="30" t="s">
        <v>294</v>
      </c>
      <c r="K94" s="30">
        <v>1</v>
      </c>
      <c r="L94" s="30">
        <v>1</v>
      </c>
      <c r="M94" s="30" t="s">
        <v>488</v>
      </c>
      <c r="N94" s="30" t="s">
        <v>489</v>
      </c>
      <c r="O94" s="30" t="s">
        <v>490</v>
      </c>
      <c r="P94" s="30" t="s">
        <v>490</v>
      </c>
      <c r="Q94" s="194">
        <v>2.4729999999999999</v>
      </c>
      <c r="R94" s="194">
        <v>2.4729999999999999</v>
      </c>
      <c r="S94" s="30">
        <v>2021</v>
      </c>
      <c r="T94" s="30" t="s">
        <v>294</v>
      </c>
      <c r="U94" s="30" t="s">
        <v>294</v>
      </c>
      <c r="V94" s="30" t="s">
        <v>491</v>
      </c>
      <c r="W94" s="30" t="s">
        <v>491</v>
      </c>
      <c r="X94" s="30" t="s">
        <v>492</v>
      </c>
      <c r="Y94" s="30" t="s">
        <v>492</v>
      </c>
      <c r="Z94" s="30" t="s">
        <v>492</v>
      </c>
      <c r="AA94" s="30" t="s">
        <v>492</v>
      </c>
    </row>
    <row r="95" spans="1:27" ht="47.25" x14ac:dyDescent="0.25">
      <c r="A95" s="192">
        <v>71</v>
      </c>
      <c r="B95" s="193" t="s">
        <v>562</v>
      </c>
      <c r="C95" s="193" t="s">
        <v>562</v>
      </c>
      <c r="D95" s="193" t="s">
        <v>562</v>
      </c>
      <c r="E95" s="193" t="s">
        <v>562</v>
      </c>
      <c r="F95" s="30">
        <v>0.4</v>
      </c>
      <c r="G95" s="30">
        <v>0.4</v>
      </c>
      <c r="H95" s="30">
        <v>0.4</v>
      </c>
      <c r="I95" s="30">
        <v>0.4</v>
      </c>
      <c r="J95" s="30" t="s">
        <v>294</v>
      </c>
      <c r="K95" s="30">
        <v>1</v>
      </c>
      <c r="L95" s="30">
        <v>1</v>
      </c>
      <c r="M95" s="30" t="s">
        <v>488</v>
      </c>
      <c r="N95" s="30" t="s">
        <v>489</v>
      </c>
      <c r="O95" s="30" t="s">
        <v>490</v>
      </c>
      <c r="P95" s="30" t="s">
        <v>490</v>
      </c>
      <c r="Q95" s="194">
        <v>2.7559999999999998</v>
      </c>
      <c r="R95" s="194">
        <v>2.7559999999999998</v>
      </c>
      <c r="S95" s="30">
        <v>2021</v>
      </c>
      <c r="T95" s="30" t="s">
        <v>294</v>
      </c>
      <c r="U95" s="30" t="s">
        <v>294</v>
      </c>
      <c r="V95" s="30" t="s">
        <v>491</v>
      </c>
      <c r="W95" s="30" t="s">
        <v>491</v>
      </c>
      <c r="X95" s="30" t="s">
        <v>492</v>
      </c>
      <c r="Y95" s="30" t="s">
        <v>492</v>
      </c>
      <c r="Z95" s="30" t="s">
        <v>492</v>
      </c>
      <c r="AA95" s="30" t="s">
        <v>492</v>
      </c>
    </row>
    <row r="96" spans="1:27" ht="47.25" x14ac:dyDescent="0.25">
      <c r="A96" s="192">
        <v>72</v>
      </c>
      <c r="B96" s="193" t="s">
        <v>563</v>
      </c>
      <c r="C96" s="193" t="s">
        <v>563</v>
      </c>
      <c r="D96" s="193" t="s">
        <v>563</v>
      </c>
      <c r="E96" s="193" t="s">
        <v>563</v>
      </c>
      <c r="F96" s="30">
        <v>0.4</v>
      </c>
      <c r="G96" s="30">
        <v>0.4</v>
      </c>
      <c r="H96" s="30">
        <v>0.4</v>
      </c>
      <c r="I96" s="30">
        <v>0.4</v>
      </c>
      <c r="J96" s="30" t="s">
        <v>294</v>
      </c>
      <c r="K96" s="30">
        <v>1</v>
      </c>
      <c r="L96" s="30">
        <v>1</v>
      </c>
      <c r="M96" s="30" t="s">
        <v>488</v>
      </c>
      <c r="N96" s="30" t="s">
        <v>489</v>
      </c>
      <c r="O96" s="30" t="s">
        <v>490</v>
      </c>
      <c r="P96" s="30" t="s">
        <v>490</v>
      </c>
      <c r="Q96" s="194">
        <v>1.9319999999999999</v>
      </c>
      <c r="R96" s="194">
        <v>1.9319999999999999</v>
      </c>
      <c r="S96" s="30">
        <v>2021</v>
      </c>
      <c r="T96" s="30" t="s">
        <v>294</v>
      </c>
      <c r="U96" s="30" t="s">
        <v>294</v>
      </c>
      <c r="V96" s="30" t="s">
        <v>491</v>
      </c>
      <c r="W96" s="30" t="s">
        <v>491</v>
      </c>
      <c r="X96" s="30" t="s">
        <v>492</v>
      </c>
      <c r="Y96" s="30" t="s">
        <v>492</v>
      </c>
      <c r="Z96" s="30" t="s">
        <v>492</v>
      </c>
      <c r="AA96" s="30" t="s">
        <v>492</v>
      </c>
    </row>
    <row r="97" spans="1:27" ht="47.25" x14ac:dyDescent="0.25">
      <c r="A97" s="192">
        <v>73</v>
      </c>
      <c r="B97" s="193" t="s">
        <v>564</v>
      </c>
      <c r="C97" s="193" t="s">
        <v>564</v>
      </c>
      <c r="D97" s="193" t="s">
        <v>564</v>
      </c>
      <c r="E97" s="193" t="s">
        <v>564</v>
      </c>
      <c r="F97" s="30">
        <v>0.4</v>
      </c>
      <c r="G97" s="30">
        <v>0.4</v>
      </c>
      <c r="H97" s="30">
        <v>0.4</v>
      </c>
      <c r="I97" s="30">
        <v>0.4</v>
      </c>
      <c r="J97" s="30" t="s">
        <v>294</v>
      </c>
      <c r="K97" s="30">
        <v>1</v>
      </c>
      <c r="L97" s="30">
        <v>1</v>
      </c>
      <c r="M97" s="30" t="s">
        <v>488</v>
      </c>
      <c r="N97" s="30" t="s">
        <v>489</v>
      </c>
      <c r="O97" s="30" t="s">
        <v>490</v>
      </c>
      <c r="P97" s="30" t="s">
        <v>490</v>
      </c>
      <c r="Q97" s="194">
        <v>0.78</v>
      </c>
      <c r="R97" s="194">
        <v>0.78</v>
      </c>
      <c r="S97" s="30">
        <v>2021</v>
      </c>
      <c r="T97" s="30" t="s">
        <v>294</v>
      </c>
      <c r="U97" s="30" t="s">
        <v>294</v>
      </c>
      <c r="V97" s="30" t="s">
        <v>491</v>
      </c>
      <c r="W97" s="30" t="s">
        <v>491</v>
      </c>
      <c r="X97" s="30" t="s">
        <v>492</v>
      </c>
      <c r="Y97" s="30" t="s">
        <v>492</v>
      </c>
      <c r="Z97" s="30" t="s">
        <v>492</v>
      </c>
      <c r="AA97" s="30" t="s">
        <v>492</v>
      </c>
    </row>
    <row r="98" spans="1:27" ht="47.25" x14ac:dyDescent="0.25">
      <c r="A98" s="192">
        <v>74</v>
      </c>
      <c r="B98" s="193" t="s">
        <v>565</v>
      </c>
      <c r="C98" s="193" t="s">
        <v>565</v>
      </c>
      <c r="D98" s="193" t="s">
        <v>565</v>
      </c>
      <c r="E98" s="193" t="s">
        <v>565</v>
      </c>
      <c r="F98" s="30">
        <v>0.4</v>
      </c>
      <c r="G98" s="30">
        <v>0.4</v>
      </c>
      <c r="H98" s="30">
        <v>0.4</v>
      </c>
      <c r="I98" s="30">
        <v>0.4</v>
      </c>
      <c r="J98" s="30" t="s">
        <v>294</v>
      </c>
      <c r="K98" s="30">
        <v>1</v>
      </c>
      <c r="L98" s="30">
        <v>1</v>
      </c>
      <c r="M98" s="30" t="s">
        <v>488</v>
      </c>
      <c r="N98" s="30" t="s">
        <v>489</v>
      </c>
      <c r="O98" s="30" t="s">
        <v>490</v>
      </c>
      <c r="P98" s="30" t="s">
        <v>490</v>
      </c>
      <c r="Q98" s="194">
        <v>1.0900000000000001</v>
      </c>
      <c r="R98" s="194">
        <v>1.0900000000000001</v>
      </c>
      <c r="S98" s="30">
        <v>2021</v>
      </c>
      <c r="T98" s="30" t="s">
        <v>294</v>
      </c>
      <c r="U98" s="30" t="s">
        <v>294</v>
      </c>
      <c r="V98" s="30" t="s">
        <v>491</v>
      </c>
      <c r="W98" s="30" t="s">
        <v>491</v>
      </c>
      <c r="X98" s="30" t="s">
        <v>492</v>
      </c>
      <c r="Y98" s="30" t="s">
        <v>492</v>
      </c>
      <c r="Z98" s="30" t="s">
        <v>492</v>
      </c>
      <c r="AA98" s="30" t="s">
        <v>492</v>
      </c>
    </row>
    <row r="99" spans="1:27" ht="47.25" x14ac:dyDescent="0.25">
      <c r="A99" s="192">
        <v>75</v>
      </c>
      <c r="B99" s="193" t="s">
        <v>566</v>
      </c>
      <c r="C99" s="193" t="s">
        <v>566</v>
      </c>
      <c r="D99" s="193" t="s">
        <v>566</v>
      </c>
      <c r="E99" s="193" t="s">
        <v>566</v>
      </c>
      <c r="F99" s="30">
        <v>0.4</v>
      </c>
      <c r="G99" s="30">
        <v>0.4</v>
      </c>
      <c r="H99" s="30">
        <v>0.4</v>
      </c>
      <c r="I99" s="30">
        <v>0.4</v>
      </c>
      <c r="J99" s="30" t="s">
        <v>294</v>
      </c>
      <c r="K99" s="30">
        <v>1</v>
      </c>
      <c r="L99" s="30">
        <v>1</v>
      </c>
      <c r="M99" s="30" t="s">
        <v>488</v>
      </c>
      <c r="N99" s="30" t="s">
        <v>489</v>
      </c>
      <c r="O99" s="30" t="s">
        <v>490</v>
      </c>
      <c r="P99" s="30" t="s">
        <v>490</v>
      </c>
      <c r="Q99" s="194">
        <v>1.95</v>
      </c>
      <c r="R99" s="194">
        <v>1.95</v>
      </c>
      <c r="S99" s="30">
        <v>2021</v>
      </c>
      <c r="T99" s="30" t="s">
        <v>294</v>
      </c>
      <c r="U99" s="30" t="s">
        <v>294</v>
      </c>
      <c r="V99" s="30" t="s">
        <v>491</v>
      </c>
      <c r="W99" s="30" t="s">
        <v>491</v>
      </c>
      <c r="X99" s="30" t="s">
        <v>492</v>
      </c>
      <c r="Y99" s="30" t="s">
        <v>492</v>
      </c>
      <c r="Z99" s="30" t="s">
        <v>492</v>
      </c>
      <c r="AA99" s="30" t="s">
        <v>492</v>
      </c>
    </row>
    <row r="100" spans="1:27" ht="47.25" x14ac:dyDescent="0.25">
      <c r="A100" s="192">
        <v>76</v>
      </c>
      <c r="B100" s="193" t="s">
        <v>567</v>
      </c>
      <c r="C100" s="193" t="s">
        <v>567</v>
      </c>
      <c r="D100" s="193" t="s">
        <v>567</v>
      </c>
      <c r="E100" s="193" t="s">
        <v>567</v>
      </c>
      <c r="F100" s="30">
        <v>0.4</v>
      </c>
      <c r="G100" s="30">
        <v>0.4</v>
      </c>
      <c r="H100" s="30">
        <v>0.4</v>
      </c>
      <c r="I100" s="30">
        <v>0.4</v>
      </c>
      <c r="J100" s="30" t="s">
        <v>294</v>
      </c>
      <c r="K100" s="30">
        <v>1</v>
      </c>
      <c r="L100" s="30">
        <v>1</v>
      </c>
      <c r="M100" s="30" t="s">
        <v>488</v>
      </c>
      <c r="N100" s="30" t="s">
        <v>489</v>
      </c>
      <c r="O100" s="30" t="s">
        <v>490</v>
      </c>
      <c r="P100" s="30" t="s">
        <v>490</v>
      </c>
      <c r="Q100" s="194">
        <v>1.1000000000000001</v>
      </c>
      <c r="R100" s="194">
        <v>1.1000000000000001</v>
      </c>
      <c r="S100" s="30">
        <v>2021</v>
      </c>
      <c r="T100" s="30" t="s">
        <v>294</v>
      </c>
      <c r="U100" s="30" t="s">
        <v>294</v>
      </c>
      <c r="V100" s="30" t="s">
        <v>491</v>
      </c>
      <c r="W100" s="30" t="s">
        <v>491</v>
      </c>
      <c r="X100" s="30" t="s">
        <v>492</v>
      </c>
      <c r="Y100" s="30" t="s">
        <v>492</v>
      </c>
      <c r="Z100" s="30" t="s">
        <v>492</v>
      </c>
      <c r="AA100" s="30" t="s">
        <v>492</v>
      </c>
    </row>
    <row r="101" spans="1:27" ht="47.25" x14ac:dyDescent="0.25">
      <c r="A101" s="192">
        <v>77</v>
      </c>
      <c r="B101" s="193" t="s">
        <v>568</v>
      </c>
      <c r="C101" s="193" t="s">
        <v>568</v>
      </c>
      <c r="D101" s="193" t="s">
        <v>568</v>
      </c>
      <c r="E101" s="193" t="s">
        <v>568</v>
      </c>
      <c r="F101" s="30">
        <v>0.4</v>
      </c>
      <c r="G101" s="30">
        <v>0.4</v>
      </c>
      <c r="H101" s="30">
        <v>0.4</v>
      </c>
      <c r="I101" s="30">
        <v>0.4</v>
      </c>
      <c r="J101" s="30" t="s">
        <v>294</v>
      </c>
      <c r="K101" s="30">
        <v>1</v>
      </c>
      <c r="L101" s="30">
        <v>1</v>
      </c>
      <c r="M101" s="30" t="s">
        <v>488</v>
      </c>
      <c r="N101" s="30" t="s">
        <v>489</v>
      </c>
      <c r="O101" s="30" t="s">
        <v>490</v>
      </c>
      <c r="P101" s="30" t="s">
        <v>490</v>
      </c>
      <c r="Q101" s="194">
        <v>2.2599999999999998</v>
      </c>
      <c r="R101" s="194">
        <v>2.2599999999999998</v>
      </c>
      <c r="S101" s="30">
        <v>2021</v>
      </c>
      <c r="T101" s="30" t="s">
        <v>294</v>
      </c>
      <c r="U101" s="30" t="s">
        <v>294</v>
      </c>
      <c r="V101" s="30" t="s">
        <v>491</v>
      </c>
      <c r="W101" s="30" t="s">
        <v>491</v>
      </c>
      <c r="X101" s="30" t="s">
        <v>492</v>
      </c>
      <c r="Y101" s="30" t="s">
        <v>492</v>
      </c>
      <c r="Z101" s="30" t="s">
        <v>492</v>
      </c>
      <c r="AA101" s="30" t="s">
        <v>492</v>
      </c>
    </row>
    <row r="102" spans="1:27" ht="47.25" x14ac:dyDescent="0.25">
      <c r="A102" s="192">
        <v>78</v>
      </c>
      <c r="B102" s="193" t="s">
        <v>569</v>
      </c>
      <c r="C102" s="193" t="s">
        <v>569</v>
      </c>
      <c r="D102" s="193" t="s">
        <v>569</v>
      </c>
      <c r="E102" s="193" t="s">
        <v>569</v>
      </c>
      <c r="F102" s="30">
        <v>0.4</v>
      </c>
      <c r="G102" s="30">
        <v>0.4</v>
      </c>
      <c r="H102" s="30">
        <v>0.4</v>
      </c>
      <c r="I102" s="30">
        <v>0.4</v>
      </c>
      <c r="J102" s="30" t="s">
        <v>294</v>
      </c>
      <c r="K102" s="30">
        <v>1</v>
      </c>
      <c r="L102" s="30">
        <v>1</v>
      </c>
      <c r="M102" s="30" t="s">
        <v>488</v>
      </c>
      <c r="N102" s="30" t="s">
        <v>489</v>
      </c>
      <c r="O102" s="30" t="s">
        <v>490</v>
      </c>
      <c r="P102" s="30" t="s">
        <v>490</v>
      </c>
      <c r="Q102" s="194">
        <v>1.81</v>
      </c>
      <c r="R102" s="194">
        <v>1.81</v>
      </c>
      <c r="S102" s="30">
        <v>2021</v>
      </c>
      <c r="T102" s="30" t="s">
        <v>294</v>
      </c>
      <c r="U102" s="30" t="s">
        <v>294</v>
      </c>
      <c r="V102" s="30" t="s">
        <v>491</v>
      </c>
      <c r="W102" s="30" t="s">
        <v>491</v>
      </c>
      <c r="X102" s="30" t="s">
        <v>492</v>
      </c>
      <c r="Y102" s="30" t="s">
        <v>492</v>
      </c>
      <c r="Z102" s="30" t="s">
        <v>492</v>
      </c>
      <c r="AA102" s="30" t="s">
        <v>492</v>
      </c>
    </row>
    <row r="103" spans="1:27" ht="47.25" x14ac:dyDescent="0.25">
      <c r="A103" s="192">
        <v>79</v>
      </c>
      <c r="B103" s="193" t="s">
        <v>570</v>
      </c>
      <c r="C103" s="193" t="s">
        <v>570</v>
      </c>
      <c r="D103" s="193" t="s">
        <v>570</v>
      </c>
      <c r="E103" s="193" t="s">
        <v>570</v>
      </c>
      <c r="F103" s="30">
        <v>0.4</v>
      </c>
      <c r="G103" s="30">
        <v>0.4</v>
      </c>
      <c r="H103" s="30">
        <v>0.4</v>
      </c>
      <c r="I103" s="30">
        <v>0.4</v>
      </c>
      <c r="J103" s="30" t="s">
        <v>294</v>
      </c>
      <c r="K103" s="30">
        <v>1</v>
      </c>
      <c r="L103" s="30">
        <v>1</v>
      </c>
      <c r="M103" s="30" t="s">
        <v>488</v>
      </c>
      <c r="N103" s="30" t="s">
        <v>489</v>
      </c>
      <c r="O103" s="30" t="s">
        <v>490</v>
      </c>
      <c r="P103" s="30" t="s">
        <v>490</v>
      </c>
      <c r="Q103" s="194">
        <v>3.69</v>
      </c>
      <c r="R103" s="194">
        <v>3.69</v>
      </c>
      <c r="S103" s="30">
        <v>2021</v>
      </c>
      <c r="T103" s="30" t="s">
        <v>294</v>
      </c>
      <c r="U103" s="30" t="s">
        <v>294</v>
      </c>
      <c r="V103" s="30" t="s">
        <v>491</v>
      </c>
      <c r="W103" s="30" t="s">
        <v>491</v>
      </c>
      <c r="X103" s="30" t="s">
        <v>492</v>
      </c>
      <c r="Y103" s="30" t="s">
        <v>492</v>
      </c>
      <c r="Z103" s="30" t="s">
        <v>492</v>
      </c>
      <c r="AA103" s="30" t="s">
        <v>492</v>
      </c>
    </row>
    <row r="104" spans="1:27" ht="47.25" x14ac:dyDescent="0.25">
      <c r="A104" s="192">
        <v>80</v>
      </c>
      <c r="B104" s="193" t="s">
        <v>571</v>
      </c>
      <c r="C104" s="193" t="s">
        <v>571</v>
      </c>
      <c r="D104" s="193" t="s">
        <v>571</v>
      </c>
      <c r="E104" s="193" t="s">
        <v>571</v>
      </c>
      <c r="F104" s="30">
        <v>0.4</v>
      </c>
      <c r="G104" s="30">
        <v>0.4</v>
      </c>
      <c r="H104" s="30">
        <v>0.4</v>
      </c>
      <c r="I104" s="30">
        <v>0.4</v>
      </c>
      <c r="J104" s="30" t="s">
        <v>294</v>
      </c>
      <c r="K104" s="30">
        <v>1</v>
      </c>
      <c r="L104" s="30">
        <v>1</v>
      </c>
      <c r="M104" s="30" t="s">
        <v>488</v>
      </c>
      <c r="N104" s="30" t="s">
        <v>489</v>
      </c>
      <c r="O104" s="30" t="s">
        <v>490</v>
      </c>
      <c r="P104" s="30" t="s">
        <v>490</v>
      </c>
      <c r="Q104" s="195">
        <v>0.6</v>
      </c>
      <c r="R104" s="195">
        <v>0.6</v>
      </c>
      <c r="S104" s="30">
        <v>2021</v>
      </c>
      <c r="T104" s="30" t="s">
        <v>294</v>
      </c>
      <c r="U104" s="30" t="s">
        <v>294</v>
      </c>
      <c r="V104" s="30" t="s">
        <v>491</v>
      </c>
      <c r="W104" s="30" t="s">
        <v>491</v>
      </c>
      <c r="X104" s="30" t="s">
        <v>492</v>
      </c>
      <c r="Y104" s="30" t="s">
        <v>492</v>
      </c>
      <c r="Z104" s="30" t="s">
        <v>492</v>
      </c>
      <c r="AA104" s="30" t="s">
        <v>492</v>
      </c>
    </row>
    <row r="105" spans="1:27" ht="47.25" x14ac:dyDescent="0.25">
      <c r="A105" s="192">
        <v>81</v>
      </c>
      <c r="B105" s="193" t="s">
        <v>572</v>
      </c>
      <c r="C105" s="193" t="s">
        <v>572</v>
      </c>
      <c r="D105" s="193" t="s">
        <v>572</v>
      </c>
      <c r="E105" s="193" t="s">
        <v>572</v>
      </c>
      <c r="F105" s="30">
        <v>0.4</v>
      </c>
      <c r="G105" s="30">
        <v>0.4</v>
      </c>
      <c r="H105" s="30">
        <v>0.4</v>
      </c>
      <c r="I105" s="30">
        <v>0.4</v>
      </c>
      <c r="J105" s="30" t="s">
        <v>294</v>
      </c>
      <c r="K105" s="30">
        <v>1</v>
      </c>
      <c r="L105" s="30">
        <v>1</v>
      </c>
      <c r="M105" s="30" t="s">
        <v>488</v>
      </c>
      <c r="N105" s="30" t="s">
        <v>489</v>
      </c>
      <c r="O105" s="30" t="s">
        <v>490</v>
      </c>
      <c r="P105" s="30" t="s">
        <v>490</v>
      </c>
      <c r="Q105" s="194">
        <v>5</v>
      </c>
      <c r="R105" s="194">
        <v>5</v>
      </c>
      <c r="S105" s="30">
        <v>2021</v>
      </c>
      <c r="T105" s="30" t="s">
        <v>294</v>
      </c>
      <c r="U105" s="30" t="s">
        <v>294</v>
      </c>
      <c r="V105" s="30" t="s">
        <v>491</v>
      </c>
      <c r="W105" s="30" t="s">
        <v>491</v>
      </c>
      <c r="X105" s="30" t="s">
        <v>492</v>
      </c>
      <c r="Y105" s="30" t="s">
        <v>492</v>
      </c>
      <c r="Z105" s="30" t="s">
        <v>492</v>
      </c>
      <c r="AA105" s="30" t="s">
        <v>492</v>
      </c>
    </row>
    <row r="106" spans="1:27" ht="47.25" x14ac:dyDescent="0.25">
      <c r="A106" s="192">
        <v>82</v>
      </c>
      <c r="B106" s="193" t="s">
        <v>573</v>
      </c>
      <c r="C106" s="193" t="s">
        <v>573</v>
      </c>
      <c r="D106" s="193" t="s">
        <v>573</v>
      </c>
      <c r="E106" s="193" t="s">
        <v>573</v>
      </c>
      <c r="F106" s="30">
        <v>0.4</v>
      </c>
      <c r="G106" s="30">
        <v>0.4</v>
      </c>
      <c r="H106" s="30">
        <v>0.4</v>
      </c>
      <c r="I106" s="30">
        <v>0.4</v>
      </c>
      <c r="J106" s="30" t="s">
        <v>294</v>
      </c>
      <c r="K106" s="30">
        <v>1</v>
      </c>
      <c r="L106" s="30">
        <v>1</v>
      </c>
      <c r="M106" s="30" t="s">
        <v>488</v>
      </c>
      <c r="N106" s="30" t="s">
        <v>489</v>
      </c>
      <c r="O106" s="30" t="s">
        <v>490</v>
      </c>
      <c r="P106" s="30" t="s">
        <v>490</v>
      </c>
      <c r="Q106" s="194">
        <v>3.5</v>
      </c>
      <c r="R106" s="194">
        <v>3.5</v>
      </c>
      <c r="S106" s="30">
        <v>2021</v>
      </c>
      <c r="T106" s="30" t="s">
        <v>294</v>
      </c>
      <c r="U106" s="30" t="s">
        <v>294</v>
      </c>
      <c r="V106" s="30" t="s">
        <v>491</v>
      </c>
      <c r="W106" s="30" t="s">
        <v>491</v>
      </c>
      <c r="X106" s="30" t="s">
        <v>492</v>
      </c>
      <c r="Y106" s="30" t="s">
        <v>492</v>
      </c>
      <c r="Z106" s="30" t="s">
        <v>492</v>
      </c>
      <c r="AA106" s="30" t="s">
        <v>492</v>
      </c>
    </row>
    <row r="107" spans="1:27" ht="47.25" x14ac:dyDescent="0.25">
      <c r="A107" s="192">
        <v>83</v>
      </c>
      <c r="B107" s="193" t="s">
        <v>574</v>
      </c>
      <c r="C107" s="193" t="s">
        <v>574</v>
      </c>
      <c r="D107" s="193" t="s">
        <v>574</v>
      </c>
      <c r="E107" s="193" t="s">
        <v>574</v>
      </c>
      <c r="F107" s="30">
        <v>0.4</v>
      </c>
      <c r="G107" s="30">
        <v>0.4</v>
      </c>
      <c r="H107" s="30">
        <v>0.4</v>
      </c>
      <c r="I107" s="30">
        <v>0.4</v>
      </c>
      <c r="J107" s="30" t="s">
        <v>294</v>
      </c>
      <c r="K107" s="30">
        <v>1</v>
      </c>
      <c r="L107" s="30">
        <v>1</v>
      </c>
      <c r="M107" s="30" t="s">
        <v>488</v>
      </c>
      <c r="N107" s="30" t="s">
        <v>489</v>
      </c>
      <c r="O107" s="30" t="s">
        <v>490</v>
      </c>
      <c r="P107" s="30" t="s">
        <v>490</v>
      </c>
      <c r="Q107" s="194">
        <v>3.33</v>
      </c>
      <c r="R107" s="194">
        <v>3.33</v>
      </c>
      <c r="S107" s="30">
        <v>2021</v>
      </c>
      <c r="T107" s="30" t="s">
        <v>294</v>
      </c>
      <c r="U107" s="30" t="s">
        <v>294</v>
      </c>
      <c r="V107" s="30" t="s">
        <v>491</v>
      </c>
      <c r="W107" s="30" t="s">
        <v>491</v>
      </c>
      <c r="X107" s="30" t="s">
        <v>492</v>
      </c>
      <c r="Y107" s="30" t="s">
        <v>492</v>
      </c>
      <c r="Z107" s="30" t="s">
        <v>492</v>
      </c>
      <c r="AA107" s="30" t="s">
        <v>492</v>
      </c>
    </row>
    <row r="108" spans="1:27" ht="47.25" x14ac:dyDescent="0.25">
      <c r="A108" s="192">
        <v>84</v>
      </c>
      <c r="B108" s="193" t="s">
        <v>575</v>
      </c>
      <c r="C108" s="193" t="s">
        <v>575</v>
      </c>
      <c r="D108" s="193" t="s">
        <v>575</v>
      </c>
      <c r="E108" s="193" t="s">
        <v>575</v>
      </c>
      <c r="F108" s="30">
        <v>0.4</v>
      </c>
      <c r="G108" s="30">
        <v>0.4</v>
      </c>
      <c r="H108" s="30">
        <v>0.4</v>
      </c>
      <c r="I108" s="30">
        <v>0.4</v>
      </c>
      <c r="J108" s="30" t="s">
        <v>294</v>
      </c>
      <c r="K108" s="30">
        <v>1</v>
      </c>
      <c r="L108" s="30">
        <v>1</v>
      </c>
      <c r="M108" s="30" t="s">
        <v>488</v>
      </c>
      <c r="N108" s="30" t="s">
        <v>489</v>
      </c>
      <c r="O108" s="30" t="s">
        <v>490</v>
      </c>
      <c r="P108" s="30" t="s">
        <v>490</v>
      </c>
      <c r="Q108" s="194">
        <v>1.72</v>
      </c>
      <c r="R108" s="194">
        <v>1.72</v>
      </c>
      <c r="S108" s="30">
        <v>2021</v>
      </c>
      <c r="T108" s="30" t="s">
        <v>294</v>
      </c>
      <c r="U108" s="30" t="s">
        <v>294</v>
      </c>
      <c r="V108" s="30" t="s">
        <v>491</v>
      </c>
      <c r="W108" s="30" t="s">
        <v>491</v>
      </c>
      <c r="X108" s="30" t="s">
        <v>492</v>
      </c>
      <c r="Y108" s="30" t="s">
        <v>492</v>
      </c>
      <c r="Z108" s="30" t="s">
        <v>492</v>
      </c>
      <c r="AA108" s="30" t="s">
        <v>492</v>
      </c>
    </row>
    <row r="109" spans="1:27" ht="47.25" x14ac:dyDescent="0.25">
      <c r="A109" s="192">
        <v>85</v>
      </c>
      <c r="B109" s="193" t="s">
        <v>576</v>
      </c>
      <c r="C109" s="193" t="s">
        <v>576</v>
      </c>
      <c r="D109" s="193" t="s">
        <v>576</v>
      </c>
      <c r="E109" s="193" t="s">
        <v>576</v>
      </c>
      <c r="F109" s="30">
        <v>0.4</v>
      </c>
      <c r="G109" s="30">
        <v>0.4</v>
      </c>
      <c r="H109" s="30">
        <v>0.4</v>
      </c>
      <c r="I109" s="30">
        <v>0.4</v>
      </c>
      <c r="J109" s="30" t="s">
        <v>294</v>
      </c>
      <c r="K109" s="30">
        <v>1</v>
      </c>
      <c r="L109" s="30">
        <v>1</v>
      </c>
      <c r="M109" s="30" t="s">
        <v>488</v>
      </c>
      <c r="N109" s="30" t="s">
        <v>489</v>
      </c>
      <c r="O109" s="30" t="s">
        <v>490</v>
      </c>
      <c r="P109" s="30" t="s">
        <v>490</v>
      </c>
      <c r="Q109" s="194">
        <v>2.3149999999999999</v>
      </c>
      <c r="R109" s="194">
        <v>2.3149999999999999</v>
      </c>
      <c r="S109" s="30">
        <v>2021</v>
      </c>
      <c r="T109" s="30" t="s">
        <v>294</v>
      </c>
      <c r="U109" s="30" t="s">
        <v>294</v>
      </c>
      <c r="V109" s="30" t="s">
        <v>491</v>
      </c>
      <c r="W109" s="30" t="s">
        <v>491</v>
      </c>
      <c r="X109" s="30" t="s">
        <v>492</v>
      </c>
      <c r="Y109" s="30" t="s">
        <v>492</v>
      </c>
      <c r="Z109" s="30" t="s">
        <v>492</v>
      </c>
      <c r="AA109" s="30" t="s">
        <v>492</v>
      </c>
    </row>
    <row r="110" spans="1:27" ht="47.25" x14ac:dyDescent="0.25">
      <c r="A110" s="192">
        <v>86</v>
      </c>
      <c r="B110" s="193" t="s">
        <v>577</v>
      </c>
      <c r="C110" s="193" t="s">
        <v>577</v>
      </c>
      <c r="D110" s="193" t="s">
        <v>577</v>
      </c>
      <c r="E110" s="193" t="s">
        <v>577</v>
      </c>
      <c r="F110" s="30">
        <v>0.4</v>
      </c>
      <c r="G110" s="30">
        <v>0.4</v>
      </c>
      <c r="H110" s="30">
        <v>0.4</v>
      </c>
      <c r="I110" s="30">
        <v>0.4</v>
      </c>
      <c r="J110" s="30" t="s">
        <v>294</v>
      </c>
      <c r="K110" s="30">
        <v>1</v>
      </c>
      <c r="L110" s="30">
        <v>1</v>
      </c>
      <c r="M110" s="30" t="s">
        <v>488</v>
      </c>
      <c r="N110" s="30" t="s">
        <v>489</v>
      </c>
      <c r="O110" s="30" t="s">
        <v>490</v>
      </c>
      <c r="P110" s="30" t="s">
        <v>490</v>
      </c>
      <c r="Q110" s="194">
        <v>3.3650000000000002</v>
      </c>
      <c r="R110" s="194">
        <v>3.3650000000000002</v>
      </c>
      <c r="S110" s="30">
        <v>2021</v>
      </c>
      <c r="T110" s="30" t="s">
        <v>294</v>
      </c>
      <c r="U110" s="30" t="s">
        <v>294</v>
      </c>
      <c r="V110" s="30" t="s">
        <v>491</v>
      </c>
      <c r="W110" s="30" t="s">
        <v>491</v>
      </c>
      <c r="X110" s="30" t="s">
        <v>492</v>
      </c>
      <c r="Y110" s="30" t="s">
        <v>492</v>
      </c>
      <c r="Z110" s="30" t="s">
        <v>492</v>
      </c>
      <c r="AA110" s="30" t="s">
        <v>492</v>
      </c>
    </row>
    <row r="111" spans="1:27" ht="47.25" x14ac:dyDescent="0.25">
      <c r="A111" s="192">
        <v>87</v>
      </c>
      <c r="B111" s="193" t="s">
        <v>578</v>
      </c>
      <c r="C111" s="193" t="s">
        <v>578</v>
      </c>
      <c r="D111" s="193" t="s">
        <v>578</v>
      </c>
      <c r="E111" s="193" t="s">
        <v>578</v>
      </c>
      <c r="F111" s="30">
        <v>0.4</v>
      </c>
      <c r="G111" s="30">
        <v>0.4</v>
      </c>
      <c r="H111" s="30">
        <v>0.4</v>
      </c>
      <c r="I111" s="30">
        <v>0.4</v>
      </c>
      <c r="J111" s="30" t="s">
        <v>294</v>
      </c>
      <c r="K111" s="30">
        <v>1</v>
      </c>
      <c r="L111" s="30">
        <v>1</v>
      </c>
      <c r="M111" s="30" t="s">
        <v>488</v>
      </c>
      <c r="N111" s="30" t="s">
        <v>489</v>
      </c>
      <c r="O111" s="30" t="s">
        <v>490</v>
      </c>
      <c r="P111" s="30" t="s">
        <v>490</v>
      </c>
      <c r="Q111" s="194">
        <v>1.37</v>
      </c>
      <c r="R111" s="194">
        <v>1.37</v>
      </c>
      <c r="S111" s="30">
        <v>2021</v>
      </c>
      <c r="T111" s="30" t="s">
        <v>294</v>
      </c>
      <c r="U111" s="30" t="s">
        <v>294</v>
      </c>
      <c r="V111" s="30" t="s">
        <v>491</v>
      </c>
      <c r="W111" s="30" t="s">
        <v>491</v>
      </c>
      <c r="X111" s="30" t="s">
        <v>492</v>
      </c>
      <c r="Y111" s="30" t="s">
        <v>492</v>
      </c>
      <c r="Z111" s="30" t="s">
        <v>492</v>
      </c>
      <c r="AA111" s="30" t="s">
        <v>492</v>
      </c>
    </row>
    <row r="112" spans="1:27" ht="47.25" x14ac:dyDescent="0.25">
      <c r="A112" s="192">
        <v>88</v>
      </c>
      <c r="B112" s="193" t="s">
        <v>579</v>
      </c>
      <c r="C112" s="193" t="s">
        <v>579</v>
      </c>
      <c r="D112" s="193" t="s">
        <v>579</v>
      </c>
      <c r="E112" s="193" t="s">
        <v>579</v>
      </c>
      <c r="F112" s="30">
        <v>0.4</v>
      </c>
      <c r="G112" s="30">
        <v>0.4</v>
      </c>
      <c r="H112" s="30">
        <v>0.4</v>
      </c>
      <c r="I112" s="30">
        <v>0.4</v>
      </c>
      <c r="J112" s="30" t="s">
        <v>294</v>
      </c>
      <c r="K112" s="30">
        <v>1</v>
      </c>
      <c r="L112" s="30">
        <v>1</v>
      </c>
      <c r="M112" s="30" t="s">
        <v>488</v>
      </c>
      <c r="N112" s="30" t="s">
        <v>489</v>
      </c>
      <c r="O112" s="30" t="s">
        <v>490</v>
      </c>
      <c r="P112" s="30" t="s">
        <v>490</v>
      </c>
      <c r="Q112" s="194">
        <v>3.117</v>
      </c>
      <c r="R112" s="194">
        <v>3.117</v>
      </c>
      <c r="S112" s="30">
        <v>2021</v>
      </c>
      <c r="T112" s="30" t="s">
        <v>294</v>
      </c>
      <c r="U112" s="30" t="s">
        <v>294</v>
      </c>
      <c r="V112" s="30" t="s">
        <v>491</v>
      </c>
      <c r="W112" s="30" t="s">
        <v>491</v>
      </c>
      <c r="X112" s="30" t="s">
        <v>492</v>
      </c>
      <c r="Y112" s="30" t="s">
        <v>492</v>
      </c>
      <c r="Z112" s="30" t="s">
        <v>492</v>
      </c>
      <c r="AA112" s="30" t="s">
        <v>492</v>
      </c>
    </row>
    <row r="113" spans="1:27" ht="47.25" x14ac:dyDescent="0.25">
      <c r="A113" s="192">
        <v>89</v>
      </c>
      <c r="B113" s="193" t="s">
        <v>580</v>
      </c>
      <c r="C113" s="193" t="s">
        <v>580</v>
      </c>
      <c r="D113" s="193" t="s">
        <v>580</v>
      </c>
      <c r="E113" s="193" t="s">
        <v>580</v>
      </c>
      <c r="F113" s="30">
        <v>0.4</v>
      </c>
      <c r="G113" s="30">
        <v>0.4</v>
      </c>
      <c r="H113" s="30">
        <v>0.4</v>
      </c>
      <c r="I113" s="30">
        <v>0.4</v>
      </c>
      <c r="J113" s="30" t="s">
        <v>294</v>
      </c>
      <c r="K113" s="30">
        <v>1</v>
      </c>
      <c r="L113" s="30">
        <v>1</v>
      </c>
      <c r="M113" s="30" t="s">
        <v>488</v>
      </c>
      <c r="N113" s="30" t="s">
        <v>489</v>
      </c>
      <c r="O113" s="30" t="s">
        <v>490</v>
      </c>
      <c r="P113" s="30" t="s">
        <v>490</v>
      </c>
      <c r="Q113" s="194">
        <v>3.75</v>
      </c>
      <c r="R113" s="194">
        <v>3.75</v>
      </c>
      <c r="S113" s="30">
        <v>2021</v>
      </c>
      <c r="T113" s="30" t="s">
        <v>294</v>
      </c>
      <c r="U113" s="30" t="s">
        <v>294</v>
      </c>
      <c r="V113" s="30" t="s">
        <v>491</v>
      </c>
      <c r="W113" s="30" t="s">
        <v>491</v>
      </c>
      <c r="X113" s="30" t="s">
        <v>492</v>
      </c>
      <c r="Y113" s="30" t="s">
        <v>492</v>
      </c>
      <c r="Z113" s="30" t="s">
        <v>492</v>
      </c>
      <c r="AA113" s="30" t="s">
        <v>492</v>
      </c>
    </row>
    <row r="114" spans="1:27" ht="47.25" x14ac:dyDescent="0.25">
      <c r="A114" s="192">
        <v>90</v>
      </c>
      <c r="B114" s="193" t="s">
        <v>581</v>
      </c>
      <c r="C114" s="193" t="s">
        <v>581</v>
      </c>
      <c r="D114" s="193" t="s">
        <v>581</v>
      </c>
      <c r="E114" s="193" t="s">
        <v>581</v>
      </c>
      <c r="F114" s="30">
        <v>0.4</v>
      </c>
      <c r="G114" s="30">
        <v>0.4</v>
      </c>
      <c r="H114" s="30">
        <v>0.4</v>
      </c>
      <c r="I114" s="30">
        <v>0.4</v>
      </c>
      <c r="J114" s="30" t="s">
        <v>294</v>
      </c>
      <c r="K114" s="30">
        <v>1</v>
      </c>
      <c r="L114" s="30">
        <v>1</v>
      </c>
      <c r="M114" s="30" t="s">
        <v>488</v>
      </c>
      <c r="N114" s="30" t="s">
        <v>489</v>
      </c>
      <c r="O114" s="30" t="s">
        <v>490</v>
      </c>
      <c r="P114" s="30" t="s">
        <v>490</v>
      </c>
      <c r="Q114" s="194">
        <v>2.1</v>
      </c>
      <c r="R114" s="194">
        <v>2.1</v>
      </c>
      <c r="S114" s="30">
        <v>2021</v>
      </c>
      <c r="T114" s="30" t="s">
        <v>294</v>
      </c>
      <c r="U114" s="30" t="s">
        <v>294</v>
      </c>
      <c r="V114" s="30" t="s">
        <v>491</v>
      </c>
      <c r="W114" s="30" t="s">
        <v>491</v>
      </c>
      <c r="X114" s="30" t="s">
        <v>492</v>
      </c>
      <c r="Y114" s="30" t="s">
        <v>492</v>
      </c>
      <c r="Z114" s="30" t="s">
        <v>492</v>
      </c>
      <c r="AA114" s="30" t="s">
        <v>492</v>
      </c>
    </row>
    <row r="115" spans="1:27" ht="47.25" x14ac:dyDescent="0.25">
      <c r="A115" s="192">
        <v>91</v>
      </c>
      <c r="B115" s="193" t="s">
        <v>582</v>
      </c>
      <c r="C115" s="193" t="s">
        <v>582</v>
      </c>
      <c r="D115" s="193" t="s">
        <v>582</v>
      </c>
      <c r="E115" s="193" t="s">
        <v>582</v>
      </c>
      <c r="F115" s="30">
        <v>0.4</v>
      </c>
      <c r="G115" s="30">
        <v>0.4</v>
      </c>
      <c r="H115" s="30">
        <v>0.4</v>
      </c>
      <c r="I115" s="30">
        <v>0.4</v>
      </c>
      <c r="J115" s="30" t="s">
        <v>294</v>
      </c>
      <c r="K115" s="30">
        <v>1</v>
      </c>
      <c r="L115" s="30">
        <v>1</v>
      </c>
      <c r="M115" s="30" t="s">
        <v>488</v>
      </c>
      <c r="N115" s="30" t="s">
        <v>489</v>
      </c>
      <c r="O115" s="30" t="s">
        <v>490</v>
      </c>
      <c r="P115" s="30" t="s">
        <v>490</v>
      </c>
      <c r="Q115" s="194">
        <v>3.07</v>
      </c>
      <c r="R115" s="194">
        <v>3.07</v>
      </c>
      <c r="S115" s="30">
        <v>2021</v>
      </c>
      <c r="T115" s="30" t="s">
        <v>294</v>
      </c>
      <c r="U115" s="30" t="s">
        <v>294</v>
      </c>
      <c r="V115" s="30" t="s">
        <v>491</v>
      </c>
      <c r="W115" s="30" t="s">
        <v>491</v>
      </c>
      <c r="X115" s="30" t="s">
        <v>492</v>
      </c>
      <c r="Y115" s="30" t="s">
        <v>492</v>
      </c>
      <c r="Z115" s="30" t="s">
        <v>492</v>
      </c>
      <c r="AA115" s="30" t="s">
        <v>492</v>
      </c>
    </row>
    <row r="116" spans="1:27" ht="47.25" x14ac:dyDescent="0.25">
      <c r="A116" s="192">
        <v>92</v>
      </c>
      <c r="B116" s="193" t="s">
        <v>583</v>
      </c>
      <c r="C116" s="193" t="s">
        <v>583</v>
      </c>
      <c r="D116" s="193" t="s">
        <v>583</v>
      </c>
      <c r="E116" s="193" t="s">
        <v>583</v>
      </c>
      <c r="F116" s="30">
        <v>0.4</v>
      </c>
      <c r="G116" s="30">
        <v>0.4</v>
      </c>
      <c r="H116" s="30">
        <v>0.4</v>
      </c>
      <c r="I116" s="30">
        <v>0.4</v>
      </c>
      <c r="J116" s="30" t="s">
        <v>294</v>
      </c>
      <c r="K116" s="30">
        <v>1</v>
      </c>
      <c r="L116" s="30">
        <v>1</v>
      </c>
      <c r="M116" s="30" t="s">
        <v>488</v>
      </c>
      <c r="N116" s="30" t="s">
        <v>489</v>
      </c>
      <c r="O116" s="30" t="s">
        <v>490</v>
      </c>
      <c r="P116" s="30" t="s">
        <v>490</v>
      </c>
      <c r="Q116" s="194">
        <v>2.68</v>
      </c>
      <c r="R116" s="194">
        <v>2.68</v>
      </c>
      <c r="S116" s="30">
        <v>2021</v>
      </c>
      <c r="T116" s="30" t="s">
        <v>294</v>
      </c>
      <c r="U116" s="30" t="s">
        <v>294</v>
      </c>
      <c r="V116" s="30" t="s">
        <v>491</v>
      </c>
      <c r="W116" s="30" t="s">
        <v>491</v>
      </c>
      <c r="X116" s="30" t="s">
        <v>492</v>
      </c>
      <c r="Y116" s="30" t="s">
        <v>492</v>
      </c>
      <c r="Z116" s="30" t="s">
        <v>492</v>
      </c>
      <c r="AA116" s="30" t="s">
        <v>492</v>
      </c>
    </row>
    <row r="117" spans="1:27" ht="47.25" x14ac:dyDescent="0.25">
      <c r="A117" s="192">
        <v>93</v>
      </c>
      <c r="B117" s="193" t="s">
        <v>584</v>
      </c>
      <c r="C117" s="193" t="s">
        <v>584</v>
      </c>
      <c r="D117" s="193" t="s">
        <v>584</v>
      </c>
      <c r="E117" s="193" t="s">
        <v>584</v>
      </c>
      <c r="F117" s="30">
        <v>0.4</v>
      </c>
      <c r="G117" s="30">
        <v>0.4</v>
      </c>
      <c r="H117" s="30">
        <v>0.4</v>
      </c>
      <c r="I117" s="30">
        <v>0.4</v>
      </c>
      <c r="J117" s="30" t="s">
        <v>294</v>
      </c>
      <c r="K117" s="30">
        <v>1</v>
      </c>
      <c r="L117" s="30">
        <v>1</v>
      </c>
      <c r="M117" s="30" t="s">
        <v>488</v>
      </c>
      <c r="N117" s="30" t="s">
        <v>489</v>
      </c>
      <c r="O117" s="30" t="s">
        <v>490</v>
      </c>
      <c r="P117" s="30" t="s">
        <v>490</v>
      </c>
      <c r="Q117" s="194">
        <v>2.863</v>
      </c>
      <c r="R117" s="194">
        <v>2.863</v>
      </c>
      <c r="S117" s="30">
        <v>2021</v>
      </c>
      <c r="T117" s="30" t="s">
        <v>294</v>
      </c>
      <c r="U117" s="30" t="s">
        <v>294</v>
      </c>
      <c r="V117" s="30" t="s">
        <v>491</v>
      </c>
      <c r="W117" s="30" t="s">
        <v>491</v>
      </c>
      <c r="X117" s="30" t="s">
        <v>492</v>
      </c>
      <c r="Y117" s="30" t="s">
        <v>492</v>
      </c>
      <c r="Z117" s="30" t="s">
        <v>492</v>
      </c>
      <c r="AA117" s="30" t="s">
        <v>492</v>
      </c>
    </row>
    <row r="118" spans="1:27" ht="47.25" x14ac:dyDescent="0.25">
      <c r="A118" s="192">
        <v>94</v>
      </c>
      <c r="B118" s="193" t="s">
        <v>585</v>
      </c>
      <c r="C118" s="193" t="s">
        <v>585</v>
      </c>
      <c r="D118" s="193" t="s">
        <v>585</v>
      </c>
      <c r="E118" s="193" t="s">
        <v>585</v>
      </c>
      <c r="F118" s="30">
        <v>0.4</v>
      </c>
      <c r="G118" s="30">
        <v>0.4</v>
      </c>
      <c r="H118" s="30">
        <v>0.4</v>
      </c>
      <c r="I118" s="30">
        <v>0.4</v>
      </c>
      <c r="J118" s="30" t="s">
        <v>294</v>
      </c>
      <c r="K118" s="30">
        <v>1</v>
      </c>
      <c r="L118" s="30">
        <v>1</v>
      </c>
      <c r="M118" s="30" t="s">
        <v>488</v>
      </c>
      <c r="N118" s="30" t="s">
        <v>489</v>
      </c>
      <c r="O118" s="30" t="s">
        <v>490</v>
      </c>
      <c r="P118" s="30" t="s">
        <v>490</v>
      </c>
      <c r="Q118" s="194">
        <v>2.4700000000000002</v>
      </c>
      <c r="R118" s="194">
        <v>2.4700000000000002</v>
      </c>
      <c r="S118" s="30">
        <v>2021</v>
      </c>
      <c r="T118" s="30" t="s">
        <v>294</v>
      </c>
      <c r="U118" s="30" t="s">
        <v>294</v>
      </c>
      <c r="V118" s="30" t="s">
        <v>491</v>
      </c>
      <c r="W118" s="30" t="s">
        <v>491</v>
      </c>
      <c r="X118" s="30" t="s">
        <v>492</v>
      </c>
      <c r="Y118" s="30" t="s">
        <v>492</v>
      </c>
      <c r="Z118" s="30" t="s">
        <v>492</v>
      </c>
      <c r="AA118" s="30" t="s">
        <v>492</v>
      </c>
    </row>
    <row r="119" spans="1:27" ht="47.25" x14ac:dyDescent="0.25">
      <c r="A119" s="192">
        <v>95</v>
      </c>
      <c r="B119" s="193" t="s">
        <v>586</v>
      </c>
      <c r="C119" s="193" t="s">
        <v>586</v>
      </c>
      <c r="D119" s="193" t="s">
        <v>586</v>
      </c>
      <c r="E119" s="193" t="s">
        <v>586</v>
      </c>
      <c r="F119" s="30">
        <v>0.4</v>
      </c>
      <c r="G119" s="30">
        <v>0.4</v>
      </c>
      <c r="H119" s="30">
        <v>0.4</v>
      </c>
      <c r="I119" s="30">
        <v>0.4</v>
      </c>
      <c r="J119" s="30" t="s">
        <v>294</v>
      </c>
      <c r="K119" s="30">
        <v>1</v>
      </c>
      <c r="L119" s="30">
        <v>1</v>
      </c>
      <c r="M119" s="30" t="s">
        <v>488</v>
      </c>
      <c r="N119" s="30" t="s">
        <v>489</v>
      </c>
      <c r="O119" s="30" t="s">
        <v>490</v>
      </c>
      <c r="P119" s="30" t="s">
        <v>490</v>
      </c>
      <c r="Q119" s="194">
        <v>1.47</v>
      </c>
      <c r="R119" s="194">
        <v>1.47</v>
      </c>
      <c r="S119" s="30">
        <v>2021</v>
      </c>
      <c r="T119" s="30" t="s">
        <v>294</v>
      </c>
      <c r="U119" s="30" t="s">
        <v>294</v>
      </c>
      <c r="V119" s="30" t="s">
        <v>491</v>
      </c>
      <c r="W119" s="30" t="s">
        <v>491</v>
      </c>
      <c r="X119" s="30" t="s">
        <v>492</v>
      </c>
      <c r="Y119" s="30" t="s">
        <v>492</v>
      </c>
      <c r="Z119" s="30" t="s">
        <v>492</v>
      </c>
      <c r="AA119" s="30" t="s">
        <v>492</v>
      </c>
    </row>
    <row r="120" spans="1:27" ht="47.25" x14ac:dyDescent="0.25">
      <c r="A120" s="192">
        <v>96</v>
      </c>
      <c r="B120" s="193" t="s">
        <v>587</v>
      </c>
      <c r="C120" s="193" t="s">
        <v>587</v>
      </c>
      <c r="D120" s="193" t="s">
        <v>587</v>
      </c>
      <c r="E120" s="193" t="s">
        <v>587</v>
      </c>
      <c r="F120" s="30">
        <v>0.4</v>
      </c>
      <c r="G120" s="30">
        <v>0.4</v>
      </c>
      <c r="H120" s="30">
        <v>0.4</v>
      </c>
      <c r="I120" s="30">
        <v>0.4</v>
      </c>
      <c r="J120" s="30" t="s">
        <v>294</v>
      </c>
      <c r="K120" s="30">
        <v>1</v>
      </c>
      <c r="L120" s="30">
        <v>1</v>
      </c>
      <c r="M120" s="30" t="s">
        <v>488</v>
      </c>
      <c r="N120" s="30" t="s">
        <v>489</v>
      </c>
      <c r="O120" s="30" t="s">
        <v>490</v>
      </c>
      <c r="P120" s="30" t="s">
        <v>490</v>
      </c>
      <c r="Q120" s="194">
        <v>1.62</v>
      </c>
      <c r="R120" s="194">
        <v>1.62</v>
      </c>
      <c r="S120" s="30">
        <v>2021</v>
      </c>
      <c r="T120" s="30" t="s">
        <v>294</v>
      </c>
      <c r="U120" s="30" t="s">
        <v>294</v>
      </c>
      <c r="V120" s="30" t="s">
        <v>491</v>
      </c>
      <c r="W120" s="30" t="s">
        <v>491</v>
      </c>
      <c r="X120" s="30" t="s">
        <v>492</v>
      </c>
      <c r="Y120" s="30" t="s">
        <v>492</v>
      </c>
      <c r="Z120" s="30" t="s">
        <v>492</v>
      </c>
      <c r="AA120" s="30" t="s">
        <v>492</v>
      </c>
    </row>
    <row r="121" spans="1:27" ht="47.25" x14ac:dyDescent="0.25">
      <c r="A121" s="192">
        <v>97</v>
      </c>
      <c r="B121" s="193" t="s">
        <v>588</v>
      </c>
      <c r="C121" s="193" t="s">
        <v>588</v>
      </c>
      <c r="D121" s="193" t="s">
        <v>588</v>
      </c>
      <c r="E121" s="193" t="s">
        <v>588</v>
      </c>
      <c r="F121" s="30">
        <v>0.4</v>
      </c>
      <c r="G121" s="30">
        <v>0.4</v>
      </c>
      <c r="H121" s="30">
        <v>0.4</v>
      </c>
      <c r="I121" s="30">
        <v>0.4</v>
      </c>
      <c r="J121" s="30" t="s">
        <v>294</v>
      </c>
      <c r="K121" s="30">
        <v>1</v>
      </c>
      <c r="L121" s="30">
        <v>1</v>
      </c>
      <c r="M121" s="30" t="s">
        <v>488</v>
      </c>
      <c r="N121" s="30" t="s">
        <v>489</v>
      </c>
      <c r="O121" s="30" t="s">
        <v>490</v>
      </c>
      <c r="P121" s="30" t="s">
        <v>490</v>
      </c>
      <c r="Q121" s="194">
        <v>2.5</v>
      </c>
      <c r="R121" s="194">
        <v>2.5</v>
      </c>
      <c r="S121" s="30">
        <v>2021</v>
      </c>
      <c r="T121" s="30" t="s">
        <v>294</v>
      </c>
      <c r="U121" s="30" t="s">
        <v>294</v>
      </c>
      <c r="V121" s="30" t="s">
        <v>491</v>
      </c>
      <c r="W121" s="30" t="s">
        <v>491</v>
      </c>
      <c r="X121" s="30" t="s">
        <v>492</v>
      </c>
      <c r="Y121" s="30" t="s">
        <v>492</v>
      </c>
      <c r="Z121" s="30" t="s">
        <v>492</v>
      </c>
      <c r="AA121" s="30" t="s">
        <v>492</v>
      </c>
    </row>
    <row r="122" spans="1:27" ht="47.25" x14ac:dyDescent="0.25">
      <c r="A122" s="192">
        <v>98</v>
      </c>
      <c r="B122" s="193" t="s">
        <v>589</v>
      </c>
      <c r="C122" s="193" t="s">
        <v>589</v>
      </c>
      <c r="D122" s="193" t="s">
        <v>589</v>
      </c>
      <c r="E122" s="193" t="s">
        <v>589</v>
      </c>
      <c r="F122" s="30">
        <v>0.4</v>
      </c>
      <c r="G122" s="30">
        <v>0.4</v>
      </c>
      <c r="H122" s="30">
        <v>0.4</v>
      </c>
      <c r="I122" s="30">
        <v>0.4</v>
      </c>
      <c r="J122" s="30" t="s">
        <v>294</v>
      </c>
      <c r="K122" s="30">
        <v>1</v>
      </c>
      <c r="L122" s="30">
        <v>1</v>
      </c>
      <c r="M122" s="30" t="s">
        <v>488</v>
      </c>
      <c r="N122" s="30" t="s">
        <v>489</v>
      </c>
      <c r="O122" s="30" t="s">
        <v>490</v>
      </c>
      <c r="P122" s="30" t="s">
        <v>490</v>
      </c>
      <c r="Q122" s="194">
        <v>1.2849999999999999</v>
      </c>
      <c r="R122" s="194">
        <v>1.2849999999999999</v>
      </c>
      <c r="S122" s="30">
        <v>2021</v>
      </c>
      <c r="T122" s="30" t="s">
        <v>294</v>
      </c>
      <c r="U122" s="30" t="s">
        <v>294</v>
      </c>
      <c r="V122" s="30" t="s">
        <v>491</v>
      </c>
      <c r="W122" s="30" t="s">
        <v>491</v>
      </c>
      <c r="X122" s="30" t="s">
        <v>492</v>
      </c>
      <c r="Y122" s="30" t="s">
        <v>492</v>
      </c>
      <c r="Z122" s="30" t="s">
        <v>492</v>
      </c>
      <c r="AA122" s="30" t="s">
        <v>492</v>
      </c>
    </row>
    <row r="123" spans="1:27" ht="47.25" x14ac:dyDescent="0.25">
      <c r="A123" s="192">
        <v>99</v>
      </c>
      <c r="B123" s="193" t="s">
        <v>590</v>
      </c>
      <c r="C123" s="193" t="s">
        <v>590</v>
      </c>
      <c r="D123" s="193" t="s">
        <v>590</v>
      </c>
      <c r="E123" s="193" t="s">
        <v>590</v>
      </c>
      <c r="F123" s="30">
        <v>0.4</v>
      </c>
      <c r="G123" s="30">
        <v>0.4</v>
      </c>
      <c r="H123" s="30">
        <v>0.4</v>
      </c>
      <c r="I123" s="30">
        <v>0.4</v>
      </c>
      <c r="J123" s="30" t="s">
        <v>294</v>
      </c>
      <c r="K123" s="30">
        <v>1</v>
      </c>
      <c r="L123" s="30">
        <v>1</v>
      </c>
      <c r="M123" s="30" t="s">
        <v>488</v>
      </c>
      <c r="N123" s="30" t="s">
        <v>489</v>
      </c>
      <c r="O123" s="30" t="s">
        <v>490</v>
      </c>
      <c r="P123" s="30" t="s">
        <v>490</v>
      </c>
      <c r="Q123" s="194">
        <v>2.052</v>
      </c>
      <c r="R123" s="194">
        <v>2.052</v>
      </c>
      <c r="S123" s="30">
        <v>2021</v>
      </c>
      <c r="T123" s="30" t="s">
        <v>294</v>
      </c>
      <c r="U123" s="30" t="s">
        <v>294</v>
      </c>
      <c r="V123" s="30" t="s">
        <v>491</v>
      </c>
      <c r="W123" s="30" t="s">
        <v>491</v>
      </c>
      <c r="X123" s="30" t="s">
        <v>492</v>
      </c>
      <c r="Y123" s="30" t="s">
        <v>492</v>
      </c>
      <c r="Z123" s="30" t="s">
        <v>492</v>
      </c>
      <c r="AA123" s="30" t="s">
        <v>492</v>
      </c>
    </row>
    <row r="124" spans="1:27" ht="47.25" x14ac:dyDescent="0.25">
      <c r="A124" s="192">
        <v>100</v>
      </c>
      <c r="B124" s="193" t="s">
        <v>591</v>
      </c>
      <c r="C124" s="193" t="s">
        <v>591</v>
      </c>
      <c r="D124" s="193" t="s">
        <v>591</v>
      </c>
      <c r="E124" s="193" t="s">
        <v>591</v>
      </c>
      <c r="F124" s="30">
        <v>0.4</v>
      </c>
      <c r="G124" s="30">
        <v>0.4</v>
      </c>
      <c r="H124" s="30">
        <v>0.4</v>
      </c>
      <c r="I124" s="30">
        <v>0.4</v>
      </c>
      <c r="J124" s="30" t="s">
        <v>294</v>
      </c>
      <c r="K124" s="30">
        <v>1</v>
      </c>
      <c r="L124" s="30">
        <v>1</v>
      </c>
      <c r="M124" s="30" t="s">
        <v>488</v>
      </c>
      <c r="N124" s="30" t="s">
        <v>489</v>
      </c>
      <c r="O124" s="30" t="s">
        <v>490</v>
      </c>
      <c r="P124" s="30" t="s">
        <v>490</v>
      </c>
      <c r="Q124" s="194">
        <v>1.9</v>
      </c>
      <c r="R124" s="194">
        <v>1.9</v>
      </c>
      <c r="S124" s="30">
        <v>2021</v>
      </c>
      <c r="T124" s="30" t="s">
        <v>294</v>
      </c>
      <c r="U124" s="30" t="s">
        <v>294</v>
      </c>
      <c r="V124" s="30" t="s">
        <v>491</v>
      </c>
      <c r="W124" s="30" t="s">
        <v>491</v>
      </c>
      <c r="X124" s="30" t="s">
        <v>492</v>
      </c>
      <c r="Y124" s="30" t="s">
        <v>492</v>
      </c>
      <c r="Z124" s="30" t="s">
        <v>492</v>
      </c>
      <c r="AA124" s="30" t="s">
        <v>492</v>
      </c>
    </row>
    <row r="125" spans="1:27" ht="47.25" x14ac:dyDescent="0.25">
      <c r="A125" s="192">
        <v>101</v>
      </c>
      <c r="B125" s="193" t="s">
        <v>592</v>
      </c>
      <c r="C125" s="193" t="s">
        <v>592</v>
      </c>
      <c r="D125" s="193" t="s">
        <v>592</v>
      </c>
      <c r="E125" s="193" t="s">
        <v>592</v>
      </c>
      <c r="F125" s="30">
        <v>0.4</v>
      </c>
      <c r="G125" s="30">
        <v>0.4</v>
      </c>
      <c r="H125" s="30">
        <v>0.4</v>
      </c>
      <c r="I125" s="30">
        <v>0.4</v>
      </c>
      <c r="J125" s="30" t="s">
        <v>294</v>
      </c>
      <c r="K125" s="30">
        <v>1</v>
      </c>
      <c r="L125" s="30">
        <v>1</v>
      </c>
      <c r="M125" s="30" t="s">
        <v>488</v>
      </c>
      <c r="N125" s="30" t="s">
        <v>489</v>
      </c>
      <c r="O125" s="30" t="s">
        <v>490</v>
      </c>
      <c r="P125" s="30" t="s">
        <v>490</v>
      </c>
      <c r="Q125" s="194">
        <v>2.4300000000000002</v>
      </c>
      <c r="R125" s="194">
        <v>2.4300000000000002</v>
      </c>
      <c r="S125" s="30">
        <v>2021</v>
      </c>
      <c r="T125" s="30" t="s">
        <v>294</v>
      </c>
      <c r="U125" s="30" t="s">
        <v>294</v>
      </c>
      <c r="V125" s="30" t="s">
        <v>491</v>
      </c>
      <c r="W125" s="30" t="s">
        <v>491</v>
      </c>
      <c r="X125" s="30" t="s">
        <v>492</v>
      </c>
      <c r="Y125" s="30" t="s">
        <v>492</v>
      </c>
      <c r="Z125" s="30" t="s">
        <v>492</v>
      </c>
      <c r="AA125" s="30" t="s">
        <v>492</v>
      </c>
    </row>
    <row r="126" spans="1:27" ht="47.25" x14ac:dyDescent="0.25">
      <c r="A126" s="192">
        <v>102</v>
      </c>
      <c r="B126" s="193" t="s">
        <v>593</v>
      </c>
      <c r="C126" s="193" t="s">
        <v>593</v>
      </c>
      <c r="D126" s="193" t="s">
        <v>593</v>
      </c>
      <c r="E126" s="193" t="s">
        <v>593</v>
      </c>
      <c r="F126" s="30">
        <v>0.4</v>
      </c>
      <c r="G126" s="30">
        <v>0.4</v>
      </c>
      <c r="H126" s="30">
        <v>0.4</v>
      </c>
      <c r="I126" s="30">
        <v>0.4</v>
      </c>
      <c r="J126" s="30" t="s">
        <v>294</v>
      </c>
      <c r="K126" s="30">
        <v>1</v>
      </c>
      <c r="L126" s="30">
        <v>1</v>
      </c>
      <c r="M126" s="30" t="s">
        <v>488</v>
      </c>
      <c r="N126" s="30" t="s">
        <v>489</v>
      </c>
      <c r="O126" s="30" t="s">
        <v>490</v>
      </c>
      <c r="P126" s="30" t="s">
        <v>490</v>
      </c>
      <c r="Q126" s="194">
        <v>1.3</v>
      </c>
      <c r="R126" s="194">
        <v>1.3</v>
      </c>
      <c r="S126" s="30">
        <v>2021</v>
      </c>
      <c r="T126" s="30" t="s">
        <v>294</v>
      </c>
      <c r="U126" s="30" t="s">
        <v>294</v>
      </c>
      <c r="V126" s="30" t="s">
        <v>491</v>
      </c>
      <c r="W126" s="30" t="s">
        <v>491</v>
      </c>
      <c r="X126" s="30" t="s">
        <v>492</v>
      </c>
      <c r="Y126" s="30" t="s">
        <v>492</v>
      </c>
      <c r="Z126" s="30" t="s">
        <v>492</v>
      </c>
      <c r="AA126" s="30" t="s">
        <v>492</v>
      </c>
    </row>
    <row r="127" spans="1:27" ht="47.25" x14ac:dyDescent="0.25">
      <c r="A127" s="192">
        <v>103</v>
      </c>
      <c r="B127" s="193" t="s">
        <v>594</v>
      </c>
      <c r="C127" s="193" t="s">
        <v>594</v>
      </c>
      <c r="D127" s="193" t="s">
        <v>594</v>
      </c>
      <c r="E127" s="193" t="s">
        <v>594</v>
      </c>
      <c r="F127" s="30">
        <v>0.4</v>
      </c>
      <c r="G127" s="30">
        <v>0.4</v>
      </c>
      <c r="H127" s="30">
        <v>0.4</v>
      </c>
      <c r="I127" s="30">
        <v>0.4</v>
      </c>
      <c r="J127" s="30" t="s">
        <v>294</v>
      </c>
      <c r="K127" s="30">
        <v>1</v>
      </c>
      <c r="L127" s="30">
        <v>1</v>
      </c>
      <c r="M127" s="30" t="s">
        <v>488</v>
      </c>
      <c r="N127" s="30" t="s">
        <v>489</v>
      </c>
      <c r="O127" s="30" t="s">
        <v>490</v>
      </c>
      <c r="P127" s="30" t="s">
        <v>490</v>
      </c>
      <c r="Q127" s="194">
        <v>3.23</v>
      </c>
      <c r="R127" s="194">
        <v>3.23</v>
      </c>
      <c r="S127" s="30">
        <v>2021</v>
      </c>
      <c r="T127" s="30" t="s">
        <v>294</v>
      </c>
      <c r="U127" s="30" t="s">
        <v>294</v>
      </c>
      <c r="V127" s="30" t="s">
        <v>491</v>
      </c>
      <c r="W127" s="30" t="s">
        <v>491</v>
      </c>
      <c r="X127" s="30" t="s">
        <v>492</v>
      </c>
      <c r="Y127" s="30" t="s">
        <v>492</v>
      </c>
      <c r="Z127" s="30" t="s">
        <v>492</v>
      </c>
      <c r="AA127" s="30" t="s">
        <v>492</v>
      </c>
    </row>
    <row r="128" spans="1:27" ht="47.25" x14ac:dyDescent="0.25">
      <c r="A128" s="192">
        <v>104</v>
      </c>
      <c r="B128" s="193" t="s">
        <v>595</v>
      </c>
      <c r="C128" s="193" t="s">
        <v>595</v>
      </c>
      <c r="D128" s="193" t="s">
        <v>595</v>
      </c>
      <c r="E128" s="193" t="s">
        <v>595</v>
      </c>
      <c r="F128" s="30">
        <v>0.4</v>
      </c>
      <c r="G128" s="30">
        <v>0.4</v>
      </c>
      <c r="H128" s="30">
        <v>0.4</v>
      </c>
      <c r="I128" s="30">
        <v>0.4</v>
      </c>
      <c r="J128" s="30" t="s">
        <v>294</v>
      </c>
      <c r="K128" s="30">
        <v>1</v>
      </c>
      <c r="L128" s="30">
        <v>1</v>
      </c>
      <c r="M128" s="30" t="s">
        <v>488</v>
      </c>
      <c r="N128" s="30" t="s">
        <v>489</v>
      </c>
      <c r="O128" s="30" t="s">
        <v>490</v>
      </c>
      <c r="P128" s="30" t="s">
        <v>490</v>
      </c>
      <c r="Q128" s="194">
        <v>3.02</v>
      </c>
      <c r="R128" s="194">
        <v>3.02</v>
      </c>
      <c r="S128" s="30">
        <v>2021</v>
      </c>
      <c r="T128" s="30" t="s">
        <v>294</v>
      </c>
      <c r="U128" s="30" t="s">
        <v>294</v>
      </c>
      <c r="V128" s="30" t="s">
        <v>491</v>
      </c>
      <c r="W128" s="30" t="s">
        <v>491</v>
      </c>
      <c r="X128" s="30" t="s">
        <v>492</v>
      </c>
      <c r="Y128" s="30" t="s">
        <v>492</v>
      </c>
      <c r="Z128" s="30" t="s">
        <v>492</v>
      </c>
      <c r="AA128" s="30" t="s">
        <v>492</v>
      </c>
    </row>
    <row r="129" spans="1:27" ht="47.25" x14ac:dyDescent="0.25">
      <c r="A129" s="192">
        <v>105</v>
      </c>
      <c r="B129" s="193" t="s">
        <v>596</v>
      </c>
      <c r="C129" s="193" t="s">
        <v>596</v>
      </c>
      <c r="D129" s="193" t="s">
        <v>596</v>
      </c>
      <c r="E129" s="193" t="s">
        <v>596</v>
      </c>
      <c r="F129" s="30">
        <v>0.4</v>
      </c>
      <c r="G129" s="30">
        <v>0.4</v>
      </c>
      <c r="H129" s="30">
        <v>0.4</v>
      </c>
      <c r="I129" s="30">
        <v>0.4</v>
      </c>
      <c r="J129" s="30" t="s">
        <v>294</v>
      </c>
      <c r="K129" s="30">
        <v>1</v>
      </c>
      <c r="L129" s="30">
        <v>1</v>
      </c>
      <c r="M129" s="30" t="s">
        <v>488</v>
      </c>
      <c r="N129" s="30" t="s">
        <v>489</v>
      </c>
      <c r="O129" s="30" t="s">
        <v>490</v>
      </c>
      <c r="P129" s="30" t="s">
        <v>490</v>
      </c>
      <c r="Q129" s="194">
        <v>2.82</v>
      </c>
      <c r="R129" s="194">
        <v>2.82</v>
      </c>
      <c r="S129" s="30">
        <v>2021</v>
      </c>
      <c r="T129" s="30" t="s">
        <v>294</v>
      </c>
      <c r="U129" s="30" t="s">
        <v>294</v>
      </c>
      <c r="V129" s="30" t="s">
        <v>491</v>
      </c>
      <c r="W129" s="30" t="s">
        <v>491</v>
      </c>
      <c r="X129" s="30" t="s">
        <v>492</v>
      </c>
      <c r="Y129" s="30" t="s">
        <v>492</v>
      </c>
      <c r="Z129" s="30" t="s">
        <v>492</v>
      </c>
      <c r="AA129" s="30" t="s">
        <v>492</v>
      </c>
    </row>
    <row r="130" spans="1:27" ht="47.25" x14ac:dyDescent="0.25">
      <c r="A130" s="192">
        <v>106</v>
      </c>
      <c r="B130" s="196" t="s">
        <v>294</v>
      </c>
      <c r="C130" s="193" t="s">
        <v>597</v>
      </c>
      <c r="D130" s="196" t="s">
        <v>294</v>
      </c>
      <c r="E130" s="193" t="s">
        <v>597</v>
      </c>
      <c r="F130" s="197">
        <v>10</v>
      </c>
      <c r="G130" s="197">
        <v>10</v>
      </c>
      <c r="H130" s="197">
        <v>10</v>
      </c>
      <c r="I130" s="197">
        <v>10</v>
      </c>
      <c r="J130" s="30" t="s">
        <v>294</v>
      </c>
      <c r="K130" s="30" t="s">
        <v>294</v>
      </c>
      <c r="L130" s="30">
        <v>1</v>
      </c>
      <c r="M130" s="30" t="s">
        <v>294</v>
      </c>
      <c r="N130" s="30" t="s">
        <v>598</v>
      </c>
      <c r="O130" s="197" t="s">
        <v>294</v>
      </c>
      <c r="P130" s="197" t="s">
        <v>490</v>
      </c>
      <c r="Q130" s="197" t="s">
        <v>294</v>
      </c>
      <c r="R130" s="194">
        <v>0.3</v>
      </c>
      <c r="S130" s="30">
        <v>2021</v>
      </c>
      <c r="T130" s="30" t="s">
        <v>294</v>
      </c>
      <c r="U130" s="30" t="s">
        <v>294</v>
      </c>
      <c r="V130" s="30" t="s">
        <v>294</v>
      </c>
      <c r="W130" s="30" t="s">
        <v>599</v>
      </c>
      <c r="X130" s="30" t="s">
        <v>492</v>
      </c>
      <c r="Y130" s="30" t="s">
        <v>492</v>
      </c>
      <c r="Z130" s="30" t="s">
        <v>492</v>
      </c>
      <c r="AA130" s="30" t="s">
        <v>492</v>
      </c>
    </row>
    <row r="131" spans="1:27" ht="47.25" x14ac:dyDescent="0.25">
      <c r="A131" s="192">
        <v>107</v>
      </c>
      <c r="B131" s="196" t="s">
        <v>294</v>
      </c>
      <c r="C131" s="193" t="s">
        <v>600</v>
      </c>
      <c r="D131" s="196" t="s">
        <v>294</v>
      </c>
      <c r="E131" s="193" t="s">
        <v>600</v>
      </c>
      <c r="F131" s="197">
        <v>10</v>
      </c>
      <c r="G131" s="197">
        <v>10</v>
      </c>
      <c r="H131" s="197">
        <v>10</v>
      </c>
      <c r="I131" s="197">
        <v>10</v>
      </c>
      <c r="J131" s="30" t="s">
        <v>294</v>
      </c>
      <c r="K131" s="30" t="s">
        <v>294</v>
      </c>
      <c r="L131" s="30">
        <v>1</v>
      </c>
      <c r="M131" s="30" t="s">
        <v>294</v>
      </c>
      <c r="N131" s="30" t="s">
        <v>598</v>
      </c>
      <c r="O131" s="197" t="s">
        <v>294</v>
      </c>
      <c r="P131" s="197" t="s">
        <v>490</v>
      </c>
      <c r="Q131" s="197" t="s">
        <v>294</v>
      </c>
      <c r="R131" s="194">
        <v>0.23</v>
      </c>
      <c r="S131" s="30">
        <v>2021</v>
      </c>
      <c r="T131" s="30" t="s">
        <v>294</v>
      </c>
      <c r="U131" s="30" t="s">
        <v>294</v>
      </c>
      <c r="V131" s="30" t="s">
        <v>294</v>
      </c>
      <c r="W131" s="30" t="s">
        <v>599</v>
      </c>
      <c r="X131" s="30" t="s">
        <v>492</v>
      </c>
      <c r="Y131" s="30" t="s">
        <v>492</v>
      </c>
      <c r="Z131" s="30" t="s">
        <v>492</v>
      </c>
      <c r="AA131" s="30" t="s">
        <v>492</v>
      </c>
    </row>
    <row r="132" spans="1:27" ht="47.25" x14ac:dyDescent="0.25">
      <c r="A132" s="192">
        <v>108</v>
      </c>
      <c r="B132" s="196" t="s">
        <v>294</v>
      </c>
      <c r="C132" s="193" t="s">
        <v>601</v>
      </c>
      <c r="D132" s="196" t="s">
        <v>294</v>
      </c>
      <c r="E132" s="193" t="s">
        <v>601</v>
      </c>
      <c r="F132" s="197">
        <v>10</v>
      </c>
      <c r="G132" s="197">
        <v>10</v>
      </c>
      <c r="H132" s="197">
        <v>10</v>
      </c>
      <c r="I132" s="197">
        <v>10</v>
      </c>
      <c r="J132" s="30" t="s">
        <v>294</v>
      </c>
      <c r="K132" s="30" t="s">
        <v>294</v>
      </c>
      <c r="L132" s="30">
        <v>1</v>
      </c>
      <c r="M132" s="30" t="s">
        <v>294</v>
      </c>
      <c r="N132" s="30" t="s">
        <v>598</v>
      </c>
      <c r="O132" s="197" t="s">
        <v>294</v>
      </c>
      <c r="P132" s="197" t="s">
        <v>490</v>
      </c>
      <c r="Q132" s="197" t="s">
        <v>294</v>
      </c>
      <c r="R132" s="194">
        <v>0.28000000000000003</v>
      </c>
      <c r="S132" s="30">
        <v>2021</v>
      </c>
      <c r="T132" s="30" t="s">
        <v>294</v>
      </c>
      <c r="U132" s="30" t="s">
        <v>294</v>
      </c>
      <c r="V132" s="30" t="s">
        <v>294</v>
      </c>
      <c r="W132" s="30" t="s">
        <v>599</v>
      </c>
      <c r="X132" s="30" t="s">
        <v>492</v>
      </c>
      <c r="Y132" s="30" t="s">
        <v>492</v>
      </c>
      <c r="Z132" s="30" t="s">
        <v>492</v>
      </c>
      <c r="AA132" s="30" t="s">
        <v>492</v>
      </c>
    </row>
    <row r="133" spans="1:27" ht="47.25" x14ac:dyDescent="0.25">
      <c r="A133" s="192">
        <v>109</v>
      </c>
      <c r="B133" s="196" t="s">
        <v>294</v>
      </c>
      <c r="C133" s="193" t="s">
        <v>602</v>
      </c>
      <c r="D133" s="196" t="s">
        <v>294</v>
      </c>
      <c r="E133" s="193" t="s">
        <v>602</v>
      </c>
      <c r="F133" s="197">
        <v>10</v>
      </c>
      <c r="G133" s="197">
        <v>10</v>
      </c>
      <c r="H133" s="197">
        <v>10</v>
      </c>
      <c r="I133" s="197">
        <v>10</v>
      </c>
      <c r="J133" s="30" t="s">
        <v>294</v>
      </c>
      <c r="K133" s="30" t="s">
        <v>294</v>
      </c>
      <c r="L133" s="30">
        <v>1</v>
      </c>
      <c r="M133" s="30" t="s">
        <v>294</v>
      </c>
      <c r="N133" s="30" t="s">
        <v>598</v>
      </c>
      <c r="O133" s="197" t="s">
        <v>294</v>
      </c>
      <c r="P133" s="197" t="s">
        <v>490</v>
      </c>
      <c r="Q133" s="197" t="s">
        <v>294</v>
      </c>
      <c r="R133" s="194">
        <v>0.3</v>
      </c>
      <c r="S133" s="30">
        <v>2021</v>
      </c>
      <c r="T133" s="30" t="s">
        <v>294</v>
      </c>
      <c r="U133" s="30" t="s">
        <v>294</v>
      </c>
      <c r="V133" s="30" t="s">
        <v>294</v>
      </c>
      <c r="W133" s="30" t="s">
        <v>599</v>
      </c>
      <c r="X133" s="30" t="s">
        <v>492</v>
      </c>
      <c r="Y133" s="30" t="s">
        <v>492</v>
      </c>
      <c r="Z133" s="30" t="s">
        <v>492</v>
      </c>
      <c r="AA133" s="30" t="s">
        <v>492</v>
      </c>
    </row>
    <row r="134" spans="1:27" ht="47.25" x14ac:dyDescent="0.25">
      <c r="A134" s="192">
        <v>110</v>
      </c>
      <c r="B134" s="196" t="s">
        <v>294</v>
      </c>
      <c r="C134" s="193" t="s">
        <v>603</v>
      </c>
      <c r="D134" s="196" t="s">
        <v>294</v>
      </c>
      <c r="E134" s="193" t="s">
        <v>603</v>
      </c>
      <c r="F134" s="197">
        <v>10</v>
      </c>
      <c r="G134" s="197">
        <v>10</v>
      </c>
      <c r="H134" s="197">
        <v>10</v>
      </c>
      <c r="I134" s="197">
        <v>10</v>
      </c>
      <c r="J134" s="30" t="s">
        <v>294</v>
      </c>
      <c r="K134" s="30" t="s">
        <v>294</v>
      </c>
      <c r="L134" s="30">
        <v>1</v>
      </c>
      <c r="M134" s="30" t="s">
        <v>294</v>
      </c>
      <c r="N134" s="30" t="s">
        <v>598</v>
      </c>
      <c r="O134" s="197" t="s">
        <v>294</v>
      </c>
      <c r="P134" s="197" t="s">
        <v>490</v>
      </c>
      <c r="Q134" s="197" t="s">
        <v>294</v>
      </c>
      <c r="R134" s="194">
        <v>0.05</v>
      </c>
      <c r="S134" s="30">
        <v>2021</v>
      </c>
      <c r="T134" s="30" t="s">
        <v>294</v>
      </c>
      <c r="U134" s="30" t="s">
        <v>294</v>
      </c>
      <c r="V134" s="30" t="s">
        <v>294</v>
      </c>
      <c r="W134" s="30" t="s">
        <v>599</v>
      </c>
      <c r="X134" s="30" t="s">
        <v>492</v>
      </c>
      <c r="Y134" s="30" t="s">
        <v>492</v>
      </c>
      <c r="Z134" s="30" t="s">
        <v>492</v>
      </c>
      <c r="AA134" s="30" t="s">
        <v>492</v>
      </c>
    </row>
    <row r="135" spans="1:27" ht="47.25" x14ac:dyDescent="0.25">
      <c r="A135" s="192">
        <v>111</v>
      </c>
      <c r="B135" s="196" t="s">
        <v>294</v>
      </c>
      <c r="C135" s="193" t="s">
        <v>604</v>
      </c>
      <c r="D135" s="196" t="s">
        <v>294</v>
      </c>
      <c r="E135" s="193" t="s">
        <v>604</v>
      </c>
      <c r="F135" s="197">
        <v>10</v>
      </c>
      <c r="G135" s="197">
        <v>10</v>
      </c>
      <c r="H135" s="197">
        <v>10</v>
      </c>
      <c r="I135" s="197">
        <v>10</v>
      </c>
      <c r="J135" s="30" t="s">
        <v>294</v>
      </c>
      <c r="K135" s="30" t="s">
        <v>294</v>
      </c>
      <c r="L135" s="30">
        <v>1</v>
      </c>
      <c r="M135" s="30" t="s">
        <v>294</v>
      </c>
      <c r="N135" s="30" t="s">
        <v>598</v>
      </c>
      <c r="O135" s="197" t="s">
        <v>294</v>
      </c>
      <c r="P135" s="197" t="s">
        <v>490</v>
      </c>
      <c r="Q135" s="197" t="s">
        <v>294</v>
      </c>
      <c r="R135" s="194">
        <v>0.83</v>
      </c>
      <c r="S135" s="30">
        <v>2021</v>
      </c>
      <c r="T135" s="30" t="s">
        <v>294</v>
      </c>
      <c r="U135" s="30" t="s">
        <v>294</v>
      </c>
      <c r="V135" s="30" t="s">
        <v>294</v>
      </c>
      <c r="W135" s="30" t="s">
        <v>599</v>
      </c>
      <c r="X135" s="30" t="s">
        <v>492</v>
      </c>
      <c r="Y135" s="30" t="s">
        <v>492</v>
      </c>
      <c r="Z135" s="30" t="s">
        <v>492</v>
      </c>
      <c r="AA135" s="30" t="s">
        <v>492</v>
      </c>
    </row>
    <row r="136" spans="1:27" ht="47.25" x14ac:dyDescent="0.25">
      <c r="A136" s="192">
        <v>112</v>
      </c>
      <c r="B136" s="196" t="s">
        <v>294</v>
      </c>
      <c r="C136" s="193" t="s">
        <v>605</v>
      </c>
      <c r="D136" s="196" t="s">
        <v>294</v>
      </c>
      <c r="E136" s="193" t="s">
        <v>605</v>
      </c>
      <c r="F136" s="197">
        <v>10</v>
      </c>
      <c r="G136" s="197">
        <v>10</v>
      </c>
      <c r="H136" s="197">
        <v>10</v>
      </c>
      <c r="I136" s="197">
        <v>10</v>
      </c>
      <c r="J136" s="30" t="s">
        <v>294</v>
      </c>
      <c r="K136" s="30" t="s">
        <v>294</v>
      </c>
      <c r="L136" s="30">
        <v>1</v>
      </c>
      <c r="M136" s="30" t="s">
        <v>294</v>
      </c>
      <c r="N136" s="30" t="s">
        <v>598</v>
      </c>
      <c r="O136" s="197" t="s">
        <v>294</v>
      </c>
      <c r="P136" s="197" t="s">
        <v>490</v>
      </c>
      <c r="Q136" s="197" t="s">
        <v>294</v>
      </c>
      <c r="R136" s="194">
        <v>2.5000000000000001E-2</v>
      </c>
      <c r="S136" s="30">
        <v>2021</v>
      </c>
      <c r="T136" s="30" t="s">
        <v>294</v>
      </c>
      <c r="U136" s="30" t="s">
        <v>294</v>
      </c>
      <c r="V136" s="30" t="s">
        <v>294</v>
      </c>
      <c r="W136" s="30" t="s">
        <v>599</v>
      </c>
      <c r="X136" s="30" t="s">
        <v>492</v>
      </c>
      <c r="Y136" s="30" t="s">
        <v>492</v>
      </c>
      <c r="Z136" s="30" t="s">
        <v>492</v>
      </c>
      <c r="AA136" s="30" t="s">
        <v>492</v>
      </c>
    </row>
    <row r="137" spans="1:27" ht="47.25" x14ac:dyDescent="0.25">
      <c r="A137" s="192">
        <v>113</v>
      </c>
      <c r="B137" s="196" t="s">
        <v>294</v>
      </c>
      <c r="C137" s="193" t="s">
        <v>606</v>
      </c>
      <c r="D137" s="196" t="s">
        <v>294</v>
      </c>
      <c r="E137" s="193" t="s">
        <v>606</v>
      </c>
      <c r="F137" s="197">
        <v>10</v>
      </c>
      <c r="G137" s="197">
        <v>10</v>
      </c>
      <c r="H137" s="197">
        <v>10</v>
      </c>
      <c r="I137" s="197">
        <v>10</v>
      </c>
      <c r="J137" s="30" t="s">
        <v>294</v>
      </c>
      <c r="K137" s="30" t="s">
        <v>294</v>
      </c>
      <c r="L137" s="30">
        <v>1</v>
      </c>
      <c r="M137" s="30" t="s">
        <v>294</v>
      </c>
      <c r="N137" s="30" t="s">
        <v>598</v>
      </c>
      <c r="O137" s="197" t="s">
        <v>294</v>
      </c>
      <c r="P137" s="197" t="s">
        <v>490</v>
      </c>
      <c r="Q137" s="197" t="s">
        <v>294</v>
      </c>
      <c r="R137" s="194">
        <v>0.41</v>
      </c>
      <c r="S137" s="30">
        <v>2021</v>
      </c>
      <c r="T137" s="30" t="s">
        <v>294</v>
      </c>
      <c r="U137" s="30" t="s">
        <v>294</v>
      </c>
      <c r="V137" s="30" t="s">
        <v>294</v>
      </c>
      <c r="W137" s="30" t="s">
        <v>599</v>
      </c>
      <c r="X137" s="30" t="s">
        <v>492</v>
      </c>
      <c r="Y137" s="30" t="s">
        <v>492</v>
      </c>
      <c r="Z137" s="30" t="s">
        <v>492</v>
      </c>
      <c r="AA137" s="30" t="s">
        <v>492</v>
      </c>
    </row>
    <row r="138" spans="1:27" ht="47.25" x14ac:dyDescent="0.25">
      <c r="A138" s="192">
        <v>114</v>
      </c>
      <c r="B138" s="196" t="s">
        <v>294</v>
      </c>
      <c r="C138" s="193" t="s">
        <v>607</v>
      </c>
      <c r="D138" s="196" t="s">
        <v>294</v>
      </c>
      <c r="E138" s="193" t="s">
        <v>607</v>
      </c>
      <c r="F138" s="197">
        <v>10</v>
      </c>
      <c r="G138" s="197">
        <v>10</v>
      </c>
      <c r="H138" s="197">
        <v>10</v>
      </c>
      <c r="I138" s="197">
        <v>10</v>
      </c>
      <c r="J138" s="30" t="s">
        <v>294</v>
      </c>
      <c r="K138" s="30" t="s">
        <v>294</v>
      </c>
      <c r="L138" s="30">
        <v>1</v>
      </c>
      <c r="M138" s="30" t="s">
        <v>294</v>
      </c>
      <c r="N138" s="30" t="s">
        <v>598</v>
      </c>
      <c r="O138" s="197" t="s">
        <v>294</v>
      </c>
      <c r="P138" s="197" t="s">
        <v>490</v>
      </c>
      <c r="Q138" s="197" t="s">
        <v>294</v>
      </c>
      <c r="R138" s="194">
        <v>1.4999999999999999E-2</v>
      </c>
      <c r="S138" s="30">
        <v>2021</v>
      </c>
      <c r="T138" s="30" t="s">
        <v>294</v>
      </c>
      <c r="U138" s="30" t="s">
        <v>294</v>
      </c>
      <c r="V138" s="30" t="s">
        <v>294</v>
      </c>
      <c r="W138" s="30" t="s">
        <v>599</v>
      </c>
      <c r="X138" s="30" t="s">
        <v>492</v>
      </c>
      <c r="Y138" s="30" t="s">
        <v>492</v>
      </c>
      <c r="Z138" s="30" t="s">
        <v>492</v>
      </c>
      <c r="AA138" s="30" t="s">
        <v>492</v>
      </c>
    </row>
    <row r="139" spans="1:27" ht="47.25" x14ac:dyDescent="0.25">
      <c r="A139" s="192">
        <v>115</v>
      </c>
      <c r="B139" s="196" t="s">
        <v>294</v>
      </c>
      <c r="C139" s="193" t="s">
        <v>608</v>
      </c>
      <c r="D139" s="196" t="s">
        <v>294</v>
      </c>
      <c r="E139" s="193" t="s">
        <v>608</v>
      </c>
      <c r="F139" s="197">
        <v>10</v>
      </c>
      <c r="G139" s="197">
        <v>10</v>
      </c>
      <c r="H139" s="197">
        <v>10</v>
      </c>
      <c r="I139" s="197">
        <v>10</v>
      </c>
      <c r="J139" s="30" t="s">
        <v>294</v>
      </c>
      <c r="K139" s="30" t="s">
        <v>294</v>
      </c>
      <c r="L139" s="30">
        <v>1</v>
      </c>
      <c r="M139" s="30" t="s">
        <v>294</v>
      </c>
      <c r="N139" s="30" t="s">
        <v>598</v>
      </c>
      <c r="O139" s="197" t="s">
        <v>294</v>
      </c>
      <c r="P139" s="197" t="s">
        <v>490</v>
      </c>
      <c r="Q139" s="197" t="s">
        <v>294</v>
      </c>
      <c r="R139" s="194">
        <v>0.185</v>
      </c>
      <c r="S139" s="30">
        <v>2021</v>
      </c>
      <c r="T139" s="30" t="s">
        <v>294</v>
      </c>
      <c r="U139" s="30" t="s">
        <v>294</v>
      </c>
      <c r="V139" s="30" t="s">
        <v>294</v>
      </c>
      <c r="W139" s="30" t="s">
        <v>599</v>
      </c>
      <c r="X139" s="30" t="s">
        <v>492</v>
      </c>
      <c r="Y139" s="30" t="s">
        <v>492</v>
      </c>
      <c r="Z139" s="30" t="s">
        <v>492</v>
      </c>
      <c r="AA139" s="30" t="s">
        <v>492</v>
      </c>
    </row>
    <row r="140" spans="1:27" ht="47.25" x14ac:dyDescent="0.25">
      <c r="A140" s="192">
        <v>116</v>
      </c>
      <c r="B140" s="196" t="s">
        <v>294</v>
      </c>
      <c r="C140" s="193" t="s">
        <v>609</v>
      </c>
      <c r="D140" s="196" t="s">
        <v>294</v>
      </c>
      <c r="E140" s="193" t="s">
        <v>609</v>
      </c>
      <c r="F140" s="197">
        <v>10</v>
      </c>
      <c r="G140" s="197">
        <v>10</v>
      </c>
      <c r="H140" s="197">
        <v>10</v>
      </c>
      <c r="I140" s="197">
        <v>10</v>
      </c>
      <c r="J140" s="30" t="s">
        <v>294</v>
      </c>
      <c r="K140" s="30" t="s">
        <v>294</v>
      </c>
      <c r="L140" s="30">
        <v>1</v>
      </c>
      <c r="M140" s="30" t="s">
        <v>294</v>
      </c>
      <c r="N140" s="30" t="s">
        <v>598</v>
      </c>
      <c r="O140" s="197" t="s">
        <v>294</v>
      </c>
      <c r="P140" s="197" t="s">
        <v>490</v>
      </c>
      <c r="Q140" s="197" t="s">
        <v>294</v>
      </c>
      <c r="R140" s="194">
        <v>0.38</v>
      </c>
      <c r="S140" s="30">
        <v>2021</v>
      </c>
      <c r="T140" s="30" t="s">
        <v>294</v>
      </c>
      <c r="U140" s="30" t="s">
        <v>294</v>
      </c>
      <c r="V140" s="30" t="s">
        <v>294</v>
      </c>
      <c r="W140" s="30" t="s">
        <v>599</v>
      </c>
      <c r="X140" s="30" t="s">
        <v>492</v>
      </c>
      <c r="Y140" s="30" t="s">
        <v>492</v>
      </c>
      <c r="Z140" s="30" t="s">
        <v>492</v>
      </c>
      <c r="AA140" s="30" t="s">
        <v>492</v>
      </c>
    </row>
    <row r="141" spans="1:27" ht="47.25" x14ac:dyDescent="0.25">
      <c r="A141" s="192">
        <v>117</v>
      </c>
      <c r="B141" s="196" t="s">
        <v>294</v>
      </c>
      <c r="C141" s="193" t="s">
        <v>610</v>
      </c>
      <c r="D141" s="196" t="s">
        <v>294</v>
      </c>
      <c r="E141" s="193" t="s">
        <v>610</v>
      </c>
      <c r="F141" s="197">
        <v>10</v>
      </c>
      <c r="G141" s="197">
        <v>10</v>
      </c>
      <c r="H141" s="197">
        <v>10</v>
      </c>
      <c r="I141" s="197">
        <v>10</v>
      </c>
      <c r="J141" s="30" t="s">
        <v>294</v>
      </c>
      <c r="K141" s="30" t="s">
        <v>294</v>
      </c>
      <c r="L141" s="30">
        <v>1</v>
      </c>
      <c r="M141" s="30" t="s">
        <v>294</v>
      </c>
      <c r="N141" s="30" t="s">
        <v>598</v>
      </c>
      <c r="O141" s="197" t="s">
        <v>294</v>
      </c>
      <c r="P141" s="197" t="s">
        <v>490</v>
      </c>
      <c r="Q141" s="197" t="s">
        <v>294</v>
      </c>
      <c r="R141" s="194">
        <v>0.63</v>
      </c>
      <c r="S141" s="30">
        <v>2021</v>
      </c>
      <c r="T141" s="30" t="s">
        <v>294</v>
      </c>
      <c r="U141" s="30" t="s">
        <v>294</v>
      </c>
      <c r="V141" s="30" t="s">
        <v>294</v>
      </c>
      <c r="W141" s="30" t="s">
        <v>599</v>
      </c>
      <c r="X141" s="30" t="s">
        <v>492</v>
      </c>
      <c r="Y141" s="30" t="s">
        <v>492</v>
      </c>
      <c r="Z141" s="30" t="s">
        <v>492</v>
      </c>
      <c r="AA141" s="30" t="s">
        <v>492</v>
      </c>
    </row>
    <row r="142" spans="1:27" ht="47.25" x14ac:dyDescent="0.25">
      <c r="A142" s="192">
        <v>118</v>
      </c>
      <c r="B142" s="196" t="s">
        <v>294</v>
      </c>
      <c r="C142" s="193" t="s">
        <v>611</v>
      </c>
      <c r="D142" s="196" t="s">
        <v>294</v>
      </c>
      <c r="E142" s="193" t="s">
        <v>611</v>
      </c>
      <c r="F142" s="197">
        <v>10</v>
      </c>
      <c r="G142" s="197">
        <v>10</v>
      </c>
      <c r="H142" s="197">
        <v>10</v>
      </c>
      <c r="I142" s="197">
        <v>10</v>
      </c>
      <c r="J142" s="30" t="s">
        <v>294</v>
      </c>
      <c r="K142" s="30" t="s">
        <v>294</v>
      </c>
      <c r="L142" s="30">
        <v>1</v>
      </c>
      <c r="M142" s="30" t="s">
        <v>294</v>
      </c>
      <c r="N142" s="30" t="s">
        <v>598</v>
      </c>
      <c r="O142" s="197" t="s">
        <v>294</v>
      </c>
      <c r="P142" s="197" t="s">
        <v>490</v>
      </c>
      <c r="Q142" s="197" t="s">
        <v>294</v>
      </c>
      <c r="R142" s="194">
        <v>0.05</v>
      </c>
      <c r="S142" s="30">
        <v>2021</v>
      </c>
      <c r="T142" s="30" t="s">
        <v>294</v>
      </c>
      <c r="U142" s="30" t="s">
        <v>294</v>
      </c>
      <c r="V142" s="30" t="s">
        <v>294</v>
      </c>
      <c r="W142" s="30" t="s">
        <v>599</v>
      </c>
      <c r="X142" s="30" t="s">
        <v>492</v>
      </c>
      <c r="Y142" s="30" t="s">
        <v>492</v>
      </c>
      <c r="Z142" s="30" t="s">
        <v>492</v>
      </c>
      <c r="AA142" s="30" t="s">
        <v>492</v>
      </c>
    </row>
    <row r="143" spans="1:27" ht="47.25" x14ac:dyDescent="0.25">
      <c r="A143" s="192">
        <v>119</v>
      </c>
      <c r="B143" s="196" t="s">
        <v>294</v>
      </c>
      <c r="C143" s="193" t="s">
        <v>612</v>
      </c>
      <c r="D143" s="196" t="s">
        <v>294</v>
      </c>
      <c r="E143" s="193" t="s">
        <v>612</v>
      </c>
      <c r="F143" s="197">
        <v>10</v>
      </c>
      <c r="G143" s="197">
        <v>10</v>
      </c>
      <c r="H143" s="197">
        <v>10</v>
      </c>
      <c r="I143" s="197">
        <v>10</v>
      </c>
      <c r="J143" s="30" t="s">
        <v>294</v>
      </c>
      <c r="K143" s="30" t="s">
        <v>294</v>
      </c>
      <c r="L143" s="30">
        <v>1</v>
      </c>
      <c r="M143" s="30" t="s">
        <v>294</v>
      </c>
      <c r="N143" s="30" t="s">
        <v>598</v>
      </c>
      <c r="O143" s="197" t="s">
        <v>294</v>
      </c>
      <c r="P143" s="197" t="s">
        <v>490</v>
      </c>
      <c r="Q143" s="197" t="s">
        <v>294</v>
      </c>
      <c r="R143" s="194">
        <v>0.22</v>
      </c>
      <c r="S143" s="30">
        <v>2021</v>
      </c>
      <c r="T143" s="30" t="s">
        <v>294</v>
      </c>
      <c r="U143" s="30" t="s">
        <v>294</v>
      </c>
      <c r="V143" s="30" t="s">
        <v>294</v>
      </c>
      <c r="W143" s="30" t="s">
        <v>599</v>
      </c>
      <c r="X143" s="30" t="s">
        <v>492</v>
      </c>
      <c r="Y143" s="30" t="s">
        <v>492</v>
      </c>
      <c r="Z143" s="30" t="s">
        <v>492</v>
      </c>
      <c r="AA143" s="30" t="s">
        <v>492</v>
      </c>
    </row>
    <row r="144" spans="1:27" ht="47.25" x14ac:dyDescent="0.25">
      <c r="A144" s="192">
        <v>120</v>
      </c>
      <c r="B144" s="196" t="s">
        <v>294</v>
      </c>
      <c r="C144" s="193" t="s">
        <v>613</v>
      </c>
      <c r="D144" s="196" t="s">
        <v>294</v>
      </c>
      <c r="E144" s="193" t="s">
        <v>613</v>
      </c>
      <c r="F144" s="197">
        <v>10</v>
      </c>
      <c r="G144" s="197">
        <v>10</v>
      </c>
      <c r="H144" s="197">
        <v>10</v>
      </c>
      <c r="I144" s="197">
        <v>10</v>
      </c>
      <c r="J144" s="30" t="s">
        <v>294</v>
      </c>
      <c r="K144" s="30" t="s">
        <v>294</v>
      </c>
      <c r="L144" s="30">
        <v>1</v>
      </c>
      <c r="M144" s="30" t="s">
        <v>294</v>
      </c>
      <c r="N144" s="30" t="s">
        <v>598</v>
      </c>
      <c r="O144" s="197" t="s">
        <v>294</v>
      </c>
      <c r="P144" s="197" t="s">
        <v>490</v>
      </c>
      <c r="Q144" s="197" t="s">
        <v>294</v>
      </c>
      <c r="R144" s="194">
        <v>0.26500000000000001</v>
      </c>
      <c r="S144" s="30">
        <v>2021</v>
      </c>
      <c r="T144" s="30" t="s">
        <v>294</v>
      </c>
      <c r="U144" s="30" t="s">
        <v>294</v>
      </c>
      <c r="V144" s="30" t="s">
        <v>294</v>
      </c>
      <c r="W144" s="30" t="s">
        <v>599</v>
      </c>
      <c r="X144" s="30" t="s">
        <v>492</v>
      </c>
      <c r="Y144" s="30" t="s">
        <v>492</v>
      </c>
      <c r="Z144" s="30" t="s">
        <v>492</v>
      </c>
      <c r="AA144" s="30" t="s">
        <v>492</v>
      </c>
    </row>
    <row r="145" spans="1:27" ht="47.25" x14ac:dyDescent="0.25">
      <c r="A145" s="192">
        <v>121</v>
      </c>
      <c r="B145" s="196" t="s">
        <v>294</v>
      </c>
      <c r="C145" s="193" t="s">
        <v>614</v>
      </c>
      <c r="D145" s="196" t="s">
        <v>294</v>
      </c>
      <c r="E145" s="193" t="s">
        <v>614</v>
      </c>
      <c r="F145" s="197">
        <v>10</v>
      </c>
      <c r="G145" s="197">
        <v>10</v>
      </c>
      <c r="H145" s="197">
        <v>10</v>
      </c>
      <c r="I145" s="197">
        <v>10</v>
      </c>
      <c r="J145" s="30" t="s">
        <v>294</v>
      </c>
      <c r="K145" s="30" t="s">
        <v>294</v>
      </c>
      <c r="L145" s="30">
        <v>1</v>
      </c>
      <c r="M145" s="30" t="s">
        <v>294</v>
      </c>
      <c r="N145" s="30" t="s">
        <v>598</v>
      </c>
      <c r="O145" s="197" t="s">
        <v>294</v>
      </c>
      <c r="P145" s="197" t="s">
        <v>490</v>
      </c>
      <c r="Q145" s="197" t="s">
        <v>294</v>
      </c>
      <c r="R145" s="194">
        <v>0.16</v>
      </c>
      <c r="S145" s="30">
        <v>2021</v>
      </c>
      <c r="T145" s="30" t="s">
        <v>294</v>
      </c>
      <c r="U145" s="30" t="s">
        <v>294</v>
      </c>
      <c r="V145" s="30" t="s">
        <v>294</v>
      </c>
      <c r="W145" s="30" t="s">
        <v>599</v>
      </c>
      <c r="X145" s="30" t="s">
        <v>492</v>
      </c>
      <c r="Y145" s="30" t="s">
        <v>492</v>
      </c>
      <c r="Z145" s="30" t="s">
        <v>492</v>
      </c>
      <c r="AA145" s="30" t="s">
        <v>492</v>
      </c>
    </row>
    <row r="146" spans="1:27" ht="47.25" x14ac:dyDescent="0.25">
      <c r="A146" s="192">
        <v>122</v>
      </c>
      <c r="B146" s="196" t="s">
        <v>294</v>
      </c>
      <c r="C146" s="193" t="s">
        <v>615</v>
      </c>
      <c r="D146" s="196" t="s">
        <v>294</v>
      </c>
      <c r="E146" s="193" t="s">
        <v>615</v>
      </c>
      <c r="F146" s="197">
        <v>10</v>
      </c>
      <c r="G146" s="197">
        <v>10</v>
      </c>
      <c r="H146" s="197">
        <v>10</v>
      </c>
      <c r="I146" s="197">
        <v>10</v>
      </c>
      <c r="J146" s="30" t="s">
        <v>294</v>
      </c>
      <c r="K146" s="30" t="s">
        <v>294</v>
      </c>
      <c r="L146" s="30">
        <v>1</v>
      </c>
      <c r="M146" s="30" t="s">
        <v>294</v>
      </c>
      <c r="N146" s="30" t="s">
        <v>598</v>
      </c>
      <c r="O146" s="197" t="s">
        <v>294</v>
      </c>
      <c r="P146" s="197" t="s">
        <v>490</v>
      </c>
      <c r="Q146" s="197" t="s">
        <v>294</v>
      </c>
      <c r="R146" s="194">
        <v>0.62</v>
      </c>
      <c r="S146" s="30">
        <v>2021</v>
      </c>
      <c r="T146" s="30" t="s">
        <v>294</v>
      </c>
      <c r="U146" s="30" t="s">
        <v>294</v>
      </c>
      <c r="V146" s="30" t="s">
        <v>294</v>
      </c>
      <c r="W146" s="30" t="s">
        <v>599</v>
      </c>
      <c r="X146" s="30" t="s">
        <v>492</v>
      </c>
      <c r="Y146" s="30" t="s">
        <v>492</v>
      </c>
      <c r="Z146" s="30" t="s">
        <v>492</v>
      </c>
      <c r="AA146" s="30" t="s">
        <v>492</v>
      </c>
    </row>
    <row r="147" spans="1:27" ht="47.25" x14ac:dyDescent="0.25">
      <c r="A147" s="192">
        <v>123</v>
      </c>
      <c r="B147" s="196" t="s">
        <v>294</v>
      </c>
      <c r="C147" s="193" t="s">
        <v>616</v>
      </c>
      <c r="D147" s="196" t="s">
        <v>294</v>
      </c>
      <c r="E147" s="193" t="s">
        <v>616</v>
      </c>
      <c r="F147" s="197">
        <v>10</v>
      </c>
      <c r="G147" s="197">
        <v>10</v>
      </c>
      <c r="H147" s="197">
        <v>10</v>
      </c>
      <c r="I147" s="197">
        <v>10</v>
      </c>
      <c r="J147" s="30" t="s">
        <v>294</v>
      </c>
      <c r="K147" s="30" t="s">
        <v>294</v>
      </c>
      <c r="L147" s="30">
        <v>1</v>
      </c>
      <c r="M147" s="30" t="s">
        <v>294</v>
      </c>
      <c r="N147" s="30" t="s">
        <v>598</v>
      </c>
      <c r="O147" s="197" t="s">
        <v>294</v>
      </c>
      <c r="P147" s="197" t="s">
        <v>490</v>
      </c>
      <c r="Q147" s="197" t="s">
        <v>294</v>
      </c>
      <c r="R147" s="194">
        <v>0.28000000000000003</v>
      </c>
      <c r="S147" s="30">
        <v>2021</v>
      </c>
      <c r="T147" s="30" t="s">
        <v>294</v>
      </c>
      <c r="U147" s="30" t="s">
        <v>294</v>
      </c>
      <c r="V147" s="30" t="s">
        <v>294</v>
      </c>
      <c r="W147" s="30" t="s">
        <v>599</v>
      </c>
      <c r="X147" s="30" t="s">
        <v>492</v>
      </c>
      <c r="Y147" s="30" t="s">
        <v>492</v>
      </c>
      <c r="Z147" s="30" t="s">
        <v>492</v>
      </c>
      <c r="AA147" s="30" t="s">
        <v>492</v>
      </c>
    </row>
    <row r="148" spans="1:27" ht="47.25" x14ac:dyDescent="0.25">
      <c r="A148" s="192">
        <v>124</v>
      </c>
      <c r="B148" s="196" t="s">
        <v>294</v>
      </c>
      <c r="C148" s="193" t="s">
        <v>617</v>
      </c>
      <c r="D148" s="196" t="s">
        <v>294</v>
      </c>
      <c r="E148" s="193" t="s">
        <v>617</v>
      </c>
      <c r="F148" s="197">
        <v>10</v>
      </c>
      <c r="G148" s="197">
        <v>10</v>
      </c>
      <c r="H148" s="197">
        <v>10</v>
      </c>
      <c r="I148" s="197">
        <v>10</v>
      </c>
      <c r="J148" s="30" t="s">
        <v>294</v>
      </c>
      <c r="K148" s="30" t="s">
        <v>294</v>
      </c>
      <c r="L148" s="30">
        <v>1</v>
      </c>
      <c r="M148" s="30" t="s">
        <v>294</v>
      </c>
      <c r="N148" s="30" t="s">
        <v>598</v>
      </c>
      <c r="O148" s="197" t="s">
        <v>294</v>
      </c>
      <c r="P148" s="197" t="s">
        <v>490</v>
      </c>
      <c r="Q148" s="197" t="s">
        <v>294</v>
      </c>
      <c r="R148" s="194">
        <v>0.02</v>
      </c>
      <c r="S148" s="30">
        <v>2021</v>
      </c>
      <c r="T148" s="30" t="s">
        <v>294</v>
      </c>
      <c r="U148" s="30" t="s">
        <v>294</v>
      </c>
      <c r="V148" s="30" t="s">
        <v>294</v>
      </c>
      <c r="W148" s="30" t="s">
        <v>599</v>
      </c>
      <c r="X148" s="30" t="s">
        <v>492</v>
      </c>
      <c r="Y148" s="30" t="s">
        <v>492</v>
      </c>
      <c r="Z148" s="30" t="s">
        <v>492</v>
      </c>
      <c r="AA148" s="30" t="s">
        <v>492</v>
      </c>
    </row>
    <row r="149" spans="1:27" ht="47.25" x14ac:dyDescent="0.25">
      <c r="A149" s="192">
        <v>125</v>
      </c>
      <c r="B149" s="196" t="s">
        <v>294</v>
      </c>
      <c r="C149" s="193" t="s">
        <v>618</v>
      </c>
      <c r="D149" s="196" t="s">
        <v>294</v>
      </c>
      <c r="E149" s="193" t="s">
        <v>618</v>
      </c>
      <c r="F149" s="197">
        <v>10</v>
      </c>
      <c r="G149" s="197">
        <v>10</v>
      </c>
      <c r="H149" s="197">
        <v>10</v>
      </c>
      <c r="I149" s="197">
        <v>10</v>
      </c>
      <c r="J149" s="30" t="s">
        <v>294</v>
      </c>
      <c r="K149" s="30" t="s">
        <v>294</v>
      </c>
      <c r="L149" s="30">
        <v>1</v>
      </c>
      <c r="M149" s="30" t="s">
        <v>294</v>
      </c>
      <c r="N149" s="30" t="s">
        <v>598</v>
      </c>
      <c r="O149" s="197" t="s">
        <v>294</v>
      </c>
      <c r="P149" s="197" t="s">
        <v>490</v>
      </c>
      <c r="Q149" s="197" t="s">
        <v>294</v>
      </c>
      <c r="R149" s="194">
        <v>0.47</v>
      </c>
      <c r="S149" s="30">
        <v>2021</v>
      </c>
      <c r="T149" s="30" t="s">
        <v>294</v>
      </c>
      <c r="U149" s="30" t="s">
        <v>294</v>
      </c>
      <c r="V149" s="30" t="s">
        <v>294</v>
      </c>
      <c r="W149" s="30" t="s">
        <v>599</v>
      </c>
      <c r="X149" s="30" t="s">
        <v>492</v>
      </c>
      <c r="Y149" s="30" t="s">
        <v>492</v>
      </c>
      <c r="Z149" s="30" t="s">
        <v>492</v>
      </c>
      <c r="AA149" s="30" t="s">
        <v>492</v>
      </c>
    </row>
    <row r="150" spans="1:27" ht="47.25" x14ac:dyDescent="0.25">
      <c r="A150" s="192">
        <v>126</v>
      </c>
      <c r="B150" s="196" t="s">
        <v>294</v>
      </c>
      <c r="C150" s="193" t="s">
        <v>619</v>
      </c>
      <c r="D150" s="196" t="s">
        <v>294</v>
      </c>
      <c r="E150" s="193" t="s">
        <v>619</v>
      </c>
      <c r="F150" s="197">
        <v>10</v>
      </c>
      <c r="G150" s="197">
        <v>10</v>
      </c>
      <c r="H150" s="197">
        <v>10</v>
      </c>
      <c r="I150" s="197">
        <v>10</v>
      </c>
      <c r="J150" s="30" t="s">
        <v>294</v>
      </c>
      <c r="K150" s="30" t="s">
        <v>294</v>
      </c>
      <c r="L150" s="30">
        <v>1</v>
      </c>
      <c r="M150" s="30" t="s">
        <v>294</v>
      </c>
      <c r="N150" s="30" t="s">
        <v>598</v>
      </c>
      <c r="O150" s="197" t="s">
        <v>294</v>
      </c>
      <c r="P150" s="197" t="s">
        <v>490</v>
      </c>
      <c r="Q150" s="197" t="s">
        <v>294</v>
      </c>
      <c r="R150" s="194">
        <v>0.65</v>
      </c>
      <c r="S150" s="30">
        <v>2021</v>
      </c>
      <c r="T150" s="30" t="s">
        <v>294</v>
      </c>
      <c r="U150" s="30" t="s">
        <v>294</v>
      </c>
      <c r="V150" s="30" t="s">
        <v>294</v>
      </c>
      <c r="W150" s="30" t="s">
        <v>599</v>
      </c>
      <c r="X150" s="30" t="s">
        <v>492</v>
      </c>
      <c r="Y150" s="30" t="s">
        <v>492</v>
      </c>
      <c r="Z150" s="30" t="s">
        <v>492</v>
      </c>
      <c r="AA150" s="30" t="s">
        <v>492</v>
      </c>
    </row>
    <row r="151" spans="1:27" ht="47.25" x14ac:dyDescent="0.25">
      <c r="A151" s="192">
        <v>127</v>
      </c>
      <c r="B151" s="196" t="s">
        <v>294</v>
      </c>
      <c r="C151" s="193" t="s">
        <v>620</v>
      </c>
      <c r="D151" s="196" t="s">
        <v>294</v>
      </c>
      <c r="E151" s="193" t="s">
        <v>620</v>
      </c>
      <c r="F151" s="197">
        <v>10</v>
      </c>
      <c r="G151" s="197">
        <v>10</v>
      </c>
      <c r="H151" s="197">
        <v>10</v>
      </c>
      <c r="I151" s="197">
        <v>10</v>
      </c>
      <c r="J151" s="30" t="s">
        <v>294</v>
      </c>
      <c r="K151" s="30" t="s">
        <v>294</v>
      </c>
      <c r="L151" s="30">
        <v>1</v>
      </c>
      <c r="M151" s="30" t="s">
        <v>294</v>
      </c>
      <c r="N151" s="30" t="s">
        <v>598</v>
      </c>
      <c r="O151" s="197" t="s">
        <v>294</v>
      </c>
      <c r="P151" s="197" t="s">
        <v>490</v>
      </c>
      <c r="Q151" s="197" t="s">
        <v>294</v>
      </c>
      <c r="R151" s="194">
        <v>0.5</v>
      </c>
      <c r="S151" s="30">
        <v>2021</v>
      </c>
      <c r="T151" s="30" t="s">
        <v>294</v>
      </c>
      <c r="U151" s="30" t="s">
        <v>294</v>
      </c>
      <c r="V151" s="30" t="s">
        <v>294</v>
      </c>
      <c r="W151" s="30" t="s">
        <v>599</v>
      </c>
      <c r="X151" s="30" t="s">
        <v>492</v>
      </c>
      <c r="Y151" s="30" t="s">
        <v>492</v>
      </c>
      <c r="Z151" s="30" t="s">
        <v>492</v>
      </c>
      <c r="AA151" s="30" t="s">
        <v>492</v>
      </c>
    </row>
    <row r="152" spans="1:27" ht="47.25" x14ac:dyDescent="0.25">
      <c r="A152" s="192">
        <v>128</v>
      </c>
      <c r="B152" s="196" t="s">
        <v>294</v>
      </c>
      <c r="C152" s="193" t="s">
        <v>621</v>
      </c>
      <c r="D152" s="196" t="s">
        <v>294</v>
      </c>
      <c r="E152" s="193" t="s">
        <v>621</v>
      </c>
      <c r="F152" s="197">
        <v>10</v>
      </c>
      <c r="G152" s="197">
        <v>10</v>
      </c>
      <c r="H152" s="197">
        <v>10</v>
      </c>
      <c r="I152" s="197">
        <v>10</v>
      </c>
      <c r="J152" s="30" t="s">
        <v>294</v>
      </c>
      <c r="K152" s="30" t="s">
        <v>294</v>
      </c>
      <c r="L152" s="30">
        <v>1</v>
      </c>
      <c r="M152" s="30" t="s">
        <v>294</v>
      </c>
      <c r="N152" s="30" t="s">
        <v>598</v>
      </c>
      <c r="O152" s="197" t="s">
        <v>294</v>
      </c>
      <c r="P152" s="197" t="s">
        <v>490</v>
      </c>
      <c r="Q152" s="197" t="s">
        <v>294</v>
      </c>
      <c r="R152" s="194">
        <v>6.84</v>
      </c>
      <c r="S152" s="30">
        <v>2021</v>
      </c>
      <c r="T152" s="30" t="s">
        <v>294</v>
      </c>
      <c r="U152" s="30" t="s">
        <v>294</v>
      </c>
      <c r="V152" s="30" t="s">
        <v>294</v>
      </c>
      <c r="W152" s="30" t="s">
        <v>599</v>
      </c>
      <c r="X152" s="30" t="s">
        <v>492</v>
      </c>
      <c r="Y152" s="30" t="s">
        <v>492</v>
      </c>
      <c r="Z152" s="30" t="s">
        <v>492</v>
      </c>
      <c r="AA152" s="30" t="s">
        <v>492</v>
      </c>
    </row>
    <row r="153" spans="1:27" ht="47.25" x14ac:dyDescent="0.25">
      <c r="A153" s="192">
        <v>129</v>
      </c>
      <c r="B153" s="196" t="s">
        <v>294</v>
      </c>
      <c r="C153" s="193" t="s">
        <v>622</v>
      </c>
      <c r="D153" s="196" t="s">
        <v>294</v>
      </c>
      <c r="E153" s="193" t="s">
        <v>622</v>
      </c>
      <c r="F153" s="197">
        <v>10</v>
      </c>
      <c r="G153" s="197">
        <v>10</v>
      </c>
      <c r="H153" s="197">
        <v>10</v>
      </c>
      <c r="I153" s="197">
        <v>10</v>
      </c>
      <c r="J153" s="30" t="s">
        <v>294</v>
      </c>
      <c r="K153" s="30" t="s">
        <v>294</v>
      </c>
      <c r="L153" s="30">
        <v>1</v>
      </c>
      <c r="M153" s="30" t="s">
        <v>294</v>
      </c>
      <c r="N153" s="30" t="s">
        <v>598</v>
      </c>
      <c r="O153" s="197" t="s">
        <v>294</v>
      </c>
      <c r="P153" s="197" t="s">
        <v>490</v>
      </c>
      <c r="Q153" s="197" t="s">
        <v>294</v>
      </c>
      <c r="R153" s="194">
        <v>4.3</v>
      </c>
      <c r="S153" s="30">
        <v>2021</v>
      </c>
      <c r="T153" s="30" t="s">
        <v>294</v>
      </c>
      <c r="U153" s="30" t="s">
        <v>294</v>
      </c>
      <c r="V153" s="30" t="s">
        <v>294</v>
      </c>
      <c r="W153" s="30" t="s">
        <v>599</v>
      </c>
      <c r="X153" s="30" t="s">
        <v>492</v>
      </c>
      <c r="Y153" s="30" t="s">
        <v>492</v>
      </c>
      <c r="Z153" s="30" t="s">
        <v>492</v>
      </c>
      <c r="AA153" s="30" t="s">
        <v>492</v>
      </c>
    </row>
    <row r="154" spans="1:27" ht="47.25" x14ac:dyDescent="0.25">
      <c r="A154" s="192">
        <v>130</v>
      </c>
      <c r="B154" s="196" t="s">
        <v>294</v>
      </c>
      <c r="C154" s="193" t="s">
        <v>623</v>
      </c>
      <c r="D154" s="196" t="s">
        <v>294</v>
      </c>
      <c r="E154" s="193" t="s">
        <v>623</v>
      </c>
      <c r="F154" s="197">
        <v>10</v>
      </c>
      <c r="G154" s="197">
        <v>10</v>
      </c>
      <c r="H154" s="197">
        <v>10</v>
      </c>
      <c r="I154" s="197">
        <v>10</v>
      </c>
      <c r="J154" s="30" t="s">
        <v>294</v>
      </c>
      <c r="K154" s="30" t="s">
        <v>294</v>
      </c>
      <c r="L154" s="30">
        <v>1</v>
      </c>
      <c r="M154" s="30" t="s">
        <v>294</v>
      </c>
      <c r="N154" s="30" t="s">
        <v>598</v>
      </c>
      <c r="O154" s="197" t="s">
        <v>294</v>
      </c>
      <c r="P154" s="197" t="s">
        <v>490</v>
      </c>
      <c r="Q154" s="197" t="s">
        <v>294</v>
      </c>
      <c r="R154" s="194">
        <v>1.95</v>
      </c>
      <c r="S154" s="30">
        <v>2021</v>
      </c>
      <c r="T154" s="30" t="s">
        <v>294</v>
      </c>
      <c r="U154" s="30" t="s">
        <v>294</v>
      </c>
      <c r="V154" s="30" t="s">
        <v>294</v>
      </c>
      <c r="W154" s="30" t="s">
        <v>599</v>
      </c>
      <c r="X154" s="30" t="s">
        <v>492</v>
      </c>
      <c r="Y154" s="30" t="s">
        <v>492</v>
      </c>
      <c r="Z154" s="30" t="s">
        <v>492</v>
      </c>
      <c r="AA154" s="30" t="s">
        <v>492</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1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D23" zoomScale="55" zoomScaleNormal="100" zoomScaleSheetLayoutView="55" workbookViewId="0">
      <selection activeCell="C28" sqref="C28:C30"/>
    </sheetView>
  </sheetViews>
  <sheetFormatPr defaultColWidth="9.140625" defaultRowHeight="15" x14ac:dyDescent="0.25"/>
  <cols>
    <col min="1" max="1" width="6.140625" style="122" customWidth="1"/>
    <col min="2" max="2" width="53.5703125" style="122" customWidth="1"/>
    <col min="3" max="3" width="227.42578125" style="122" bestFit="1" customWidth="1"/>
    <col min="4" max="4" width="14.42578125" style="122" customWidth="1"/>
    <col min="5" max="5" width="36.5703125" style="122" customWidth="1"/>
    <col min="6" max="6" width="20" style="122" customWidth="1"/>
    <col min="7" max="7" width="25.5703125" style="122" customWidth="1"/>
    <col min="8" max="8" width="16.42578125" style="122" customWidth="1"/>
    <col min="9" max="16384" width="9.140625" style="122"/>
  </cols>
  <sheetData>
    <row r="1" spans="1:29" s="77" customFormat="1" ht="18.75" customHeight="1" x14ac:dyDescent="0.2">
      <c r="A1" s="19"/>
      <c r="C1" s="16" t="s">
        <v>22</v>
      </c>
    </row>
    <row r="2" spans="1:29" s="77" customFormat="1" ht="18.75" customHeight="1" x14ac:dyDescent="0.3">
      <c r="A2" s="19"/>
      <c r="C2" s="14" t="s">
        <v>6</v>
      </c>
    </row>
    <row r="3" spans="1:29" s="77" customFormat="1" ht="18.75" x14ac:dyDescent="0.3">
      <c r="A3" s="13"/>
      <c r="C3" s="14" t="s">
        <v>21</v>
      </c>
    </row>
    <row r="4" spans="1:29" s="77" customFormat="1" ht="18.75" x14ac:dyDescent="0.3">
      <c r="A4" s="13"/>
      <c r="C4" s="14"/>
    </row>
    <row r="5" spans="1:29" s="77" customFormat="1" ht="15.75" x14ac:dyDescent="0.2">
      <c r="A5" s="236" t="str">
        <f>'1. паспорт местоположение'!$A$5</f>
        <v>Год раскрытия информации: 2025 год</v>
      </c>
      <c r="B5" s="236"/>
      <c r="C5" s="236"/>
      <c r="D5" s="76"/>
      <c r="E5" s="76"/>
      <c r="F5" s="76"/>
      <c r="G5" s="76"/>
      <c r="H5" s="76"/>
      <c r="I5" s="76"/>
      <c r="J5" s="76"/>
      <c r="K5" s="76"/>
      <c r="L5" s="76"/>
      <c r="M5" s="76"/>
      <c r="N5" s="76"/>
      <c r="O5" s="76"/>
      <c r="P5" s="76"/>
      <c r="Q5" s="76"/>
      <c r="R5" s="76"/>
      <c r="S5" s="76"/>
      <c r="T5" s="76"/>
      <c r="U5" s="76"/>
      <c r="V5" s="76"/>
      <c r="W5" s="76"/>
      <c r="X5" s="76"/>
      <c r="Y5" s="76"/>
      <c r="Z5" s="76"/>
      <c r="AA5" s="76"/>
      <c r="AB5" s="76"/>
      <c r="AC5" s="76"/>
    </row>
    <row r="6" spans="1:29" s="77" customFormat="1" ht="18.75" x14ac:dyDescent="0.3">
      <c r="A6" s="13"/>
      <c r="G6" s="14"/>
    </row>
    <row r="7" spans="1:29" s="77" customFormat="1" ht="18.75" x14ac:dyDescent="0.2">
      <c r="A7" s="240" t="s">
        <v>5</v>
      </c>
      <c r="B7" s="240"/>
      <c r="C7" s="240"/>
      <c r="D7" s="17"/>
      <c r="E7" s="17"/>
      <c r="F7" s="17"/>
      <c r="G7" s="17"/>
      <c r="H7" s="17"/>
      <c r="I7" s="17"/>
      <c r="J7" s="17"/>
      <c r="K7" s="17"/>
      <c r="L7" s="17"/>
      <c r="M7" s="17"/>
      <c r="N7" s="17"/>
      <c r="O7" s="17"/>
      <c r="P7" s="17"/>
      <c r="Q7" s="17"/>
      <c r="R7" s="17"/>
      <c r="S7" s="17"/>
      <c r="T7" s="17"/>
      <c r="U7" s="17"/>
    </row>
    <row r="8" spans="1:29" s="77" customFormat="1" ht="18.75" x14ac:dyDescent="0.2">
      <c r="A8" s="240"/>
      <c r="B8" s="240"/>
      <c r="C8" s="240"/>
      <c r="D8" s="82"/>
      <c r="E8" s="82"/>
      <c r="F8" s="82"/>
      <c r="G8" s="82"/>
      <c r="H8" s="17"/>
      <c r="I8" s="17"/>
      <c r="J8" s="17"/>
      <c r="K8" s="17"/>
      <c r="L8" s="17"/>
      <c r="M8" s="17"/>
      <c r="N8" s="17"/>
      <c r="O8" s="17"/>
      <c r="P8" s="17"/>
      <c r="Q8" s="17"/>
      <c r="R8" s="17"/>
      <c r="S8" s="17"/>
      <c r="T8" s="17"/>
      <c r="U8" s="17"/>
    </row>
    <row r="9" spans="1:29" s="77" customFormat="1" ht="18.75" x14ac:dyDescent="0.2">
      <c r="A9" s="241" t="s">
        <v>264</v>
      </c>
      <c r="B9" s="241"/>
      <c r="C9" s="241"/>
      <c r="D9" s="18"/>
      <c r="E9" s="18"/>
      <c r="F9" s="18"/>
      <c r="G9" s="18"/>
      <c r="H9" s="17"/>
      <c r="I9" s="17"/>
      <c r="J9" s="17"/>
      <c r="K9" s="17"/>
      <c r="L9" s="17"/>
      <c r="M9" s="17"/>
      <c r="N9" s="17"/>
      <c r="O9" s="17"/>
      <c r="P9" s="17"/>
      <c r="Q9" s="17"/>
      <c r="R9" s="17"/>
      <c r="S9" s="17"/>
      <c r="T9" s="17"/>
      <c r="U9" s="17"/>
    </row>
    <row r="10" spans="1:29" s="77" customFormat="1" ht="18.75" x14ac:dyDescent="0.2">
      <c r="A10" s="246" t="s">
        <v>4</v>
      </c>
      <c r="B10" s="246"/>
      <c r="C10" s="246"/>
      <c r="D10" s="15"/>
      <c r="E10" s="15"/>
      <c r="F10" s="15"/>
      <c r="G10" s="15"/>
      <c r="H10" s="17"/>
      <c r="I10" s="17"/>
      <c r="J10" s="17"/>
      <c r="K10" s="17"/>
      <c r="L10" s="17"/>
      <c r="M10" s="17"/>
      <c r="N10" s="17"/>
      <c r="O10" s="17"/>
      <c r="P10" s="17"/>
      <c r="Q10" s="17"/>
      <c r="R10" s="17"/>
      <c r="S10" s="17"/>
      <c r="T10" s="17"/>
      <c r="U10" s="17"/>
    </row>
    <row r="11" spans="1:29" s="77" customFormat="1" ht="18.75" x14ac:dyDescent="0.2">
      <c r="A11" s="240"/>
      <c r="B11" s="240"/>
      <c r="C11" s="240"/>
      <c r="D11" s="82"/>
      <c r="E11" s="82"/>
      <c r="F11" s="82"/>
      <c r="G11" s="82"/>
      <c r="H11" s="17"/>
      <c r="I11" s="17"/>
      <c r="J11" s="17"/>
      <c r="K11" s="17"/>
      <c r="L11" s="17"/>
      <c r="M11" s="17"/>
      <c r="N11" s="17"/>
      <c r="O11" s="17"/>
      <c r="P11" s="17"/>
      <c r="Q11" s="17"/>
      <c r="R11" s="17"/>
      <c r="S11" s="17"/>
      <c r="T11" s="17"/>
      <c r="U11" s="17"/>
    </row>
    <row r="12" spans="1:29" s="77" customFormat="1" ht="18.75" x14ac:dyDescent="0.2">
      <c r="A12" s="241" t="str">
        <f>'1. паспорт местоположение'!$A$12</f>
        <v>L_Che370</v>
      </c>
      <c r="B12" s="241"/>
      <c r="C12" s="241"/>
      <c r="D12" s="18"/>
      <c r="E12" s="18"/>
      <c r="F12" s="18"/>
      <c r="G12" s="18"/>
      <c r="H12" s="17"/>
      <c r="I12" s="17"/>
      <c r="J12" s="17"/>
      <c r="K12" s="17"/>
      <c r="L12" s="17"/>
      <c r="M12" s="17"/>
      <c r="N12" s="17"/>
      <c r="O12" s="17"/>
      <c r="P12" s="17"/>
      <c r="Q12" s="17"/>
      <c r="R12" s="17"/>
      <c r="S12" s="17"/>
      <c r="T12" s="17"/>
      <c r="U12" s="17"/>
    </row>
    <row r="13" spans="1:29" s="77" customFormat="1" ht="18.75" x14ac:dyDescent="0.2">
      <c r="A13" s="246" t="s">
        <v>3</v>
      </c>
      <c r="B13" s="246"/>
      <c r="C13" s="246"/>
      <c r="D13" s="15"/>
      <c r="E13" s="15"/>
      <c r="F13" s="15"/>
      <c r="G13" s="15"/>
      <c r="H13" s="17"/>
      <c r="I13" s="17"/>
      <c r="J13" s="17"/>
      <c r="K13" s="17"/>
      <c r="L13" s="17"/>
      <c r="M13" s="17"/>
      <c r="N13" s="17"/>
      <c r="O13" s="17"/>
      <c r="P13" s="17"/>
      <c r="Q13" s="17"/>
      <c r="R13" s="17"/>
      <c r="S13" s="17"/>
      <c r="T13" s="17"/>
      <c r="U13" s="17"/>
    </row>
    <row r="14" spans="1:29" s="80" customFormat="1" ht="15.75" customHeight="1" x14ac:dyDescent="0.2">
      <c r="A14" s="274"/>
      <c r="B14" s="274"/>
      <c r="C14" s="274"/>
      <c r="D14" s="1"/>
      <c r="E14" s="1"/>
      <c r="F14" s="1"/>
      <c r="G14" s="1"/>
      <c r="H14" s="1"/>
      <c r="I14" s="1"/>
      <c r="J14" s="1"/>
      <c r="K14" s="1"/>
      <c r="L14" s="1"/>
      <c r="M14" s="1"/>
      <c r="N14" s="1"/>
      <c r="O14" s="1"/>
      <c r="P14" s="1"/>
      <c r="Q14" s="1"/>
      <c r="R14" s="1"/>
      <c r="S14" s="1"/>
      <c r="T14" s="1"/>
      <c r="U14" s="1"/>
    </row>
    <row r="15" spans="1:29" s="25" customFormat="1" ht="87.75" customHeight="1" x14ac:dyDescent="0.2">
      <c r="A15" s="247" t="str">
        <f>'1. паспорт местоположение'!$A$15</f>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
      <c r="B15" s="247"/>
      <c r="C15" s="247"/>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46" t="s">
        <v>2</v>
      </c>
      <c r="B16" s="246"/>
      <c r="C16" s="246"/>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58"/>
      <c r="B17" s="258"/>
      <c r="C17" s="258"/>
      <c r="D17" s="78"/>
      <c r="E17" s="78"/>
      <c r="F17" s="78"/>
      <c r="G17" s="78"/>
      <c r="H17" s="78"/>
      <c r="I17" s="78"/>
      <c r="J17" s="78"/>
      <c r="K17" s="78"/>
      <c r="L17" s="78"/>
      <c r="M17" s="78"/>
      <c r="N17" s="78"/>
      <c r="O17" s="78"/>
      <c r="P17" s="78"/>
      <c r="Q17" s="78"/>
      <c r="R17" s="78"/>
    </row>
    <row r="18" spans="1:21" s="25" customFormat="1" ht="27.75" customHeight="1" x14ac:dyDescent="0.2">
      <c r="A18" s="252" t="s">
        <v>241</v>
      </c>
      <c r="B18" s="252"/>
      <c r="C18" s="252"/>
      <c r="D18" s="113"/>
      <c r="E18" s="113"/>
      <c r="F18" s="113"/>
      <c r="G18" s="113"/>
      <c r="H18" s="113"/>
      <c r="I18" s="113"/>
      <c r="J18" s="113"/>
      <c r="K18" s="113"/>
      <c r="L18" s="113"/>
      <c r="M18" s="113"/>
      <c r="N18" s="113"/>
      <c r="O18" s="113"/>
      <c r="P18" s="113"/>
      <c r="Q18" s="113"/>
      <c r="R18" s="113"/>
      <c r="S18" s="113"/>
      <c r="T18" s="113"/>
      <c r="U18" s="113"/>
    </row>
    <row r="19" spans="1:21" s="25" customFormat="1" ht="15" customHeight="1" x14ac:dyDescent="0.2">
      <c r="A19" s="15"/>
      <c r="B19" s="15"/>
      <c r="C19" s="15"/>
      <c r="D19" s="15"/>
      <c r="E19" s="15"/>
      <c r="F19" s="15"/>
      <c r="G19" s="15"/>
      <c r="H19" s="78"/>
      <c r="I19" s="78"/>
      <c r="J19" s="78"/>
      <c r="K19" s="78"/>
      <c r="L19" s="78"/>
      <c r="M19" s="78"/>
      <c r="N19" s="78"/>
      <c r="O19" s="78"/>
      <c r="P19" s="78"/>
      <c r="Q19" s="78"/>
      <c r="R19" s="78"/>
    </row>
    <row r="20" spans="1:21" s="25" customFormat="1" ht="39.75" customHeight="1" x14ac:dyDescent="0.2">
      <c r="A20" s="130" t="s">
        <v>1</v>
      </c>
      <c r="B20" s="119" t="s">
        <v>20</v>
      </c>
      <c r="C20" s="118" t="s">
        <v>19</v>
      </c>
      <c r="D20" s="131"/>
      <c r="E20" s="131"/>
      <c r="F20" s="131"/>
      <c r="G20" s="131"/>
      <c r="H20" s="1"/>
      <c r="I20" s="1"/>
      <c r="J20" s="1"/>
      <c r="K20" s="1"/>
      <c r="L20" s="1"/>
      <c r="M20" s="1"/>
      <c r="N20" s="1"/>
      <c r="O20" s="1"/>
      <c r="P20" s="1"/>
      <c r="Q20" s="1"/>
      <c r="R20" s="1"/>
      <c r="S20" s="117"/>
      <c r="T20" s="117"/>
      <c r="U20" s="117"/>
    </row>
    <row r="21" spans="1:21" s="25" customFormat="1" ht="16.5" customHeight="1" x14ac:dyDescent="0.2">
      <c r="A21" s="118">
        <v>1</v>
      </c>
      <c r="B21" s="119">
        <v>2</v>
      </c>
      <c r="C21" s="118">
        <v>3</v>
      </c>
      <c r="D21" s="131"/>
      <c r="E21" s="131"/>
      <c r="F21" s="131"/>
      <c r="G21" s="131"/>
      <c r="H21" s="1"/>
      <c r="I21" s="1"/>
      <c r="J21" s="1"/>
      <c r="K21" s="1"/>
      <c r="L21" s="1"/>
      <c r="M21" s="1"/>
      <c r="N21" s="1"/>
      <c r="O21" s="1"/>
      <c r="P21" s="1"/>
      <c r="Q21" s="1"/>
      <c r="R21" s="1"/>
      <c r="S21" s="117"/>
      <c r="T21" s="117"/>
      <c r="U21" s="117"/>
    </row>
    <row r="22" spans="1:21" s="25" customFormat="1" ht="129.75" customHeight="1" x14ac:dyDescent="0.2">
      <c r="A22" s="120" t="s">
        <v>18</v>
      </c>
      <c r="B22" s="69" t="s">
        <v>247</v>
      </c>
      <c r="C22" s="132" t="s">
        <v>757</v>
      </c>
      <c r="D22" s="131"/>
      <c r="E22" s="131"/>
      <c r="F22" s="1"/>
      <c r="G22" s="1"/>
      <c r="H22" s="1"/>
      <c r="I22" s="1"/>
      <c r="J22" s="1"/>
      <c r="K22" s="1"/>
      <c r="L22" s="1"/>
      <c r="M22" s="1"/>
      <c r="N22" s="1"/>
      <c r="O22" s="1"/>
      <c r="P22" s="1"/>
      <c r="Q22" s="117"/>
      <c r="R22" s="117"/>
      <c r="S22" s="117"/>
      <c r="T22" s="117"/>
      <c r="U22" s="117"/>
    </row>
    <row r="23" spans="1:21" ht="63" x14ac:dyDescent="0.25">
      <c r="A23" s="120" t="s">
        <v>17</v>
      </c>
      <c r="B23" s="133" t="s">
        <v>14</v>
      </c>
      <c r="C23" s="11" t="s">
        <v>758</v>
      </c>
      <c r="D23" s="121"/>
      <c r="E23" s="121"/>
      <c r="F23" s="121"/>
      <c r="G23" s="121"/>
      <c r="H23" s="121"/>
      <c r="I23" s="121"/>
      <c r="J23" s="121"/>
      <c r="K23" s="121"/>
      <c r="L23" s="121"/>
      <c r="M23" s="121"/>
      <c r="N23" s="121"/>
      <c r="O23" s="121"/>
      <c r="P23" s="121"/>
      <c r="Q23" s="121"/>
      <c r="R23" s="121"/>
      <c r="S23" s="121"/>
      <c r="T23" s="121"/>
      <c r="U23" s="121"/>
    </row>
    <row r="24" spans="1:21" ht="362.25" x14ac:dyDescent="0.25">
      <c r="A24" s="120" t="s">
        <v>16</v>
      </c>
      <c r="B24" s="133" t="s">
        <v>259</v>
      </c>
      <c r="C24" s="191" t="s">
        <v>486</v>
      </c>
      <c r="D24" s="121"/>
      <c r="E24" s="121"/>
      <c r="F24" s="121"/>
      <c r="G24" s="121"/>
      <c r="H24" s="121"/>
      <c r="I24" s="121"/>
      <c r="J24" s="121"/>
      <c r="K24" s="121"/>
      <c r="L24" s="121"/>
      <c r="M24" s="121"/>
      <c r="N24" s="121"/>
      <c r="O24" s="121"/>
      <c r="P24" s="121"/>
      <c r="Q24" s="121"/>
      <c r="R24" s="121"/>
      <c r="S24" s="121"/>
      <c r="T24" s="121"/>
      <c r="U24" s="121"/>
    </row>
    <row r="25" spans="1:21" ht="63" customHeight="1" x14ac:dyDescent="0.25">
      <c r="A25" s="120" t="s">
        <v>15</v>
      </c>
      <c r="B25" s="133" t="s">
        <v>260</v>
      </c>
      <c r="C25" s="134" t="s">
        <v>759</v>
      </c>
      <c r="D25" s="135" t="str">
        <f>IF(('6.2. Паспорт фин осв ввод'!D54)&gt;0,(ROUND(('6.2. Паспорт фин осв ввод'!D52/'6.2. Паспорт фин осв ввод'!D54),2)&amp;"млн.руб./МВА "),"-")</f>
        <v xml:space="preserve">21,81млн.руб./МВА </v>
      </c>
      <c r="E25" s="136" t="str">
        <f>IF(('6.2. Паспорт фин осв ввод'!D56)&gt;0,(ROUND(('6.2. Паспорт фин осв ввод'!D52/'6.2. Паспорт фин осв ввод'!D56),2)&amp;" млн.руб./км"),"-")</f>
        <v>1,21 млн.руб./км</v>
      </c>
      <c r="F25" s="121"/>
      <c r="G25" s="121"/>
      <c r="H25" s="121"/>
      <c r="I25" s="121"/>
      <c r="J25" s="121"/>
      <c r="K25" s="121"/>
      <c r="L25" s="121"/>
      <c r="M25" s="121"/>
      <c r="N25" s="121"/>
      <c r="O25" s="121"/>
      <c r="P25" s="121"/>
      <c r="Q25" s="121"/>
      <c r="R25" s="121"/>
      <c r="S25" s="121"/>
      <c r="T25" s="121"/>
      <c r="U25" s="121"/>
    </row>
    <row r="26" spans="1:21" ht="42.75" customHeight="1" x14ac:dyDescent="0.25">
      <c r="A26" s="120" t="s">
        <v>13</v>
      </c>
      <c r="B26" s="133" t="s">
        <v>142</v>
      </c>
      <c r="C26" s="130" t="s">
        <v>447</v>
      </c>
      <c r="D26" s="121"/>
      <c r="E26" s="121"/>
      <c r="F26" s="121"/>
      <c r="G26" s="121"/>
      <c r="H26" s="121"/>
      <c r="I26" s="121"/>
      <c r="J26" s="121"/>
      <c r="K26" s="121"/>
      <c r="L26" s="121"/>
      <c r="M26" s="121"/>
      <c r="N26" s="121"/>
      <c r="O26" s="121"/>
      <c r="P26" s="121"/>
      <c r="Q26" s="121"/>
      <c r="R26" s="121"/>
      <c r="S26" s="121"/>
      <c r="T26" s="121"/>
      <c r="U26" s="121"/>
    </row>
    <row r="27" spans="1:21" ht="268.5" customHeight="1" x14ac:dyDescent="0.25">
      <c r="A27" s="120" t="s">
        <v>12</v>
      </c>
      <c r="B27" s="133" t="s">
        <v>248</v>
      </c>
      <c r="C27" s="171" t="s">
        <v>485</v>
      </c>
      <c r="D27" s="121"/>
      <c r="E27" s="121"/>
      <c r="F27" s="121"/>
      <c r="G27" s="121"/>
      <c r="H27" s="121"/>
      <c r="I27" s="121"/>
      <c r="J27" s="121"/>
      <c r="K27" s="121"/>
      <c r="L27" s="121"/>
      <c r="M27" s="121"/>
      <c r="N27" s="121"/>
      <c r="O27" s="121"/>
      <c r="P27" s="121"/>
      <c r="Q27" s="121"/>
      <c r="R27" s="121"/>
      <c r="S27" s="121"/>
      <c r="T27" s="121"/>
      <c r="U27" s="121"/>
    </row>
    <row r="28" spans="1:21" ht="42.75" customHeight="1" x14ac:dyDescent="0.25">
      <c r="A28" s="120" t="s">
        <v>10</v>
      </c>
      <c r="B28" s="133" t="s">
        <v>11</v>
      </c>
      <c r="C28" s="72">
        <f>VLOOKUP($A$12,'[1]6.2. отчет'!$D:$OP,399,0)</f>
        <v>2019</v>
      </c>
      <c r="D28" s="121"/>
      <c r="E28" s="121"/>
      <c r="F28" s="121"/>
      <c r="G28" s="121"/>
      <c r="H28" s="121"/>
      <c r="I28" s="121"/>
      <c r="J28" s="121"/>
      <c r="K28" s="121"/>
      <c r="L28" s="121"/>
      <c r="M28" s="121"/>
      <c r="N28" s="121"/>
      <c r="O28" s="121"/>
      <c r="P28" s="121"/>
      <c r="Q28" s="121"/>
      <c r="R28" s="121"/>
      <c r="S28" s="121"/>
      <c r="T28" s="121"/>
      <c r="U28" s="121"/>
    </row>
    <row r="29" spans="1:21" ht="42.75" customHeight="1" x14ac:dyDescent="0.25">
      <c r="A29" s="120" t="s">
        <v>8</v>
      </c>
      <c r="B29" s="130" t="s">
        <v>9</v>
      </c>
      <c r="C29" s="72">
        <f>VLOOKUP($A$12,'[1]6.2. отчет'!$D:$OP,402,0)</f>
        <v>2024</v>
      </c>
      <c r="D29" s="121"/>
      <c r="E29" s="121"/>
      <c r="F29" s="121"/>
      <c r="G29" s="121"/>
      <c r="H29" s="121"/>
      <c r="I29" s="121"/>
      <c r="J29" s="121"/>
      <c r="K29" s="121"/>
      <c r="L29" s="121"/>
      <c r="M29" s="121"/>
      <c r="N29" s="121"/>
      <c r="O29" s="121"/>
      <c r="P29" s="121"/>
      <c r="Q29" s="121"/>
      <c r="R29" s="121"/>
      <c r="S29" s="121"/>
      <c r="T29" s="121"/>
      <c r="U29" s="121"/>
    </row>
    <row r="30" spans="1:21" ht="42.75" customHeight="1" x14ac:dyDescent="0.25">
      <c r="A30" s="120" t="s">
        <v>26</v>
      </c>
      <c r="B30" s="130" t="s">
        <v>7</v>
      </c>
      <c r="C30" s="72" t="str">
        <f>VLOOKUP($A$12,'[1]6.2. отчет'!$D:$OP,403,0)</f>
        <v>з</v>
      </c>
      <c r="D30" s="121"/>
      <c r="E30" s="121"/>
      <c r="F30" s="121"/>
      <c r="G30" s="121"/>
      <c r="H30" s="121"/>
      <c r="I30" s="121"/>
      <c r="J30" s="121"/>
      <c r="K30" s="121"/>
      <c r="L30" s="121"/>
      <c r="M30" s="121"/>
      <c r="N30" s="121"/>
      <c r="O30" s="121"/>
      <c r="P30" s="121"/>
      <c r="Q30" s="121"/>
      <c r="R30" s="121"/>
      <c r="S30" s="121"/>
      <c r="T30" s="121"/>
      <c r="U30" s="121"/>
    </row>
    <row r="31" spans="1:21" x14ac:dyDescent="0.25">
      <c r="A31" s="121"/>
      <c r="B31" s="121"/>
      <c r="C31" s="121"/>
      <c r="D31" s="121"/>
      <c r="E31" s="121"/>
      <c r="F31" s="121"/>
      <c r="G31" s="121"/>
      <c r="H31" s="121"/>
      <c r="I31" s="121"/>
      <c r="J31" s="121"/>
      <c r="K31" s="121"/>
      <c r="L31" s="121"/>
      <c r="M31" s="121"/>
      <c r="N31" s="121"/>
      <c r="O31" s="121"/>
      <c r="P31" s="121"/>
      <c r="Q31" s="121"/>
      <c r="R31" s="121"/>
      <c r="S31" s="121"/>
      <c r="T31" s="121"/>
      <c r="U31" s="121"/>
    </row>
    <row r="32" spans="1:21" x14ac:dyDescent="0.25">
      <c r="A32" s="121"/>
      <c r="B32" s="121"/>
      <c r="C32" s="121"/>
      <c r="D32" s="121"/>
      <c r="E32" s="121"/>
      <c r="F32" s="121"/>
      <c r="G32" s="121"/>
      <c r="H32" s="121"/>
      <c r="I32" s="121"/>
      <c r="J32" s="121"/>
      <c r="K32" s="121"/>
      <c r="L32" s="121"/>
      <c r="M32" s="121"/>
      <c r="N32" s="121"/>
      <c r="O32" s="121"/>
      <c r="P32" s="121"/>
      <c r="Q32" s="121"/>
      <c r="R32" s="121"/>
      <c r="S32" s="121"/>
      <c r="T32" s="121"/>
      <c r="U32" s="121"/>
    </row>
    <row r="33" spans="1:21" x14ac:dyDescent="0.25">
      <c r="A33" s="121"/>
      <c r="B33" s="121"/>
      <c r="C33" s="121"/>
      <c r="D33" s="121"/>
      <c r="E33" s="121"/>
      <c r="F33" s="121"/>
      <c r="G33" s="121"/>
      <c r="H33" s="121"/>
      <c r="I33" s="121"/>
      <c r="J33" s="121"/>
      <c r="K33" s="121"/>
      <c r="L33" s="121"/>
      <c r="M33" s="121"/>
      <c r="N33" s="121"/>
      <c r="O33" s="121"/>
      <c r="P33" s="121"/>
      <c r="Q33" s="121"/>
      <c r="R33" s="121"/>
      <c r="S33" s="121"/>
      <c r="T33" s="121"/>
      <c r="U33" s="121"/>
    </row>
    <row r="34" spans="1:21" x14ac:dyDescent="0.25">
      <c r="A34" s="121"/>
      <c r="B34" s="121"/>
      <c r="C34" s="121"/>
      <c r="D34" s="121"/>
      <c r="E34" s="121"/>
      <c r="F34" s="121"/>
      <c r="G34" s="121"/>
      <c r="H34" s="121"/>
      <c r="I34" s="121"/>
      <c r="J34" s="121"/>
      <c r="K34" s="121"/>
      <c r="L34" s="121"/>
      <c r="M34" s="121"/>
      <c r="N34" s="121"/>
      <c r="O34" s="121"/>
      <c r="P34" s="121"/>
      <c r="Q34" s="121"/>
      <c r="R34" s="121"/>
      <c r="S34" s="121"/>
      <c r="T34" s="121"/>
      <c r="U34" s="121"/>
    </row>
    <row r="35" spans="1:21" x14ac:dyDescent="0.25">
      <c r="A35" s="121"/>
      <c r="B35" s="121"/>
      <c r="C35" s="121"/>
      <c r="D35" s="121"/>
      <c r="E35" s="121"/>
      <c r="F35" s="121"/>
      <c r="G35" s="121"/>
      <c r="H35" s="121"/>
      <c r="I35" s="121"/>
      <c r="J35" s="121"/>
      <c r="K35" s="121"/>
      <c r="L35" s="121"/>
      <c r="M35" s="121"/>
      <c r="N35" s="121"/>
      <c r="O35" s="121"/>
      <c r="P35" s="121"/>
      <c r="Q35" s="121"/>
      <c r="R35" s="121"/>
      <c r="S35" s="121"/>
      <c r="T35" s="121"/>
      <c r="U35" s="121"/>
    </row>
    <row r="36" spans="1:21" x14ac:dyDescent="0.25">
      <c r="A36" s="121"/>
      <c r="B36" s="121"/>
      <c r="C36" s="121"/>
      <c r="D36" s="121"/>
      <c r="E36" s="121"/>
      <c r="F36" s="121"/>
      <c r="G36" s="121"/>
      <c r="H36" s="121"/>
      <c r="I36" s="121"/>
      <c r="J36" s="121"/>
      <c r="K36" s="121"/>
      <c r="L36" s="121"/>
      <c r="M36" s="121"/>
      <c r="N36" s="121"/>
      <c r="O36" s="121"/>
      <c r="P36" s="121"/>
      <c r="Q36" s="121"/>
      <c r="R36" s="121"/>
      <c r="S36" s="121"/>
      <c r="T36" s="121"/>
      <c r="U36" s="121"/>
    </row>
    <row r="37" spans="1:21" x14ac:dyDescent="0.25">
      <c r="A37" s="121"/>
      <c r="B37" s="121"/>
      <c r="C37" s="121"/>
      <c r="D37" s="121"/>
      <c r="E37" s="121"/>
      <c r="F37" s="121"/>
      <c r="G37" s="121"/>
      <c r="H37" s="121"/>
      <c r="I37" s="121"/>
      <c r="J37" s="121"/>
      <c r="K37" s="121"/>
      <c r="L37" s="121"/>
      <c r="M37" s="121"/>
      <c r="N37" s="121"/>
      <c r="O37" s="121"/>
      <c r="P37" s="121"/>
      <c r="Q37" s="121"/>
      <c r="R37" s="121"/>
      <c r="S37" s="121"/>
      <c r="T37" s="121"/>
      <c r="U37" s="121"/>
    </row>
    <row r="38" spans="1:21" x14ac:dyDescent="0.25">
      <c r="A38" s="121"/>
      <c r="B38" s="121"/>
      <c r="C38" s="121"/>
      <c r="D38" s="121"/>
      <c r="E38" s="121"/>
      <c r="F38" s="121"/>
      <c r="G38" s="121"/>
      <c r="H38" s="121"/>
      <c r="I38" s="121"/>
      <c r="J38" s="121"/>
      <c r="K38" s="121"/>
      <c r="L38" s="121"/>
      <c r="M38" s="121"/>
      <c r="N38" s="121"/>
      <c r="O38" s="121"/>
      <c r="P38" s="121"/>
      <c r="Q38" s="121"/>
      <c r="R38" s="121"/>
      <c r="S38" s="121"/>
      <c r="T38" s="121"/>
      <c r="U38" s="121"/>
    </row>
    <row r="39" spans="1:21" x14ac:dyDescent="0.25">
      <c r="A39" s="121"/>
      <c r="B39" s="121"/>
      <c r="C39" s="121"/>
      <c r="D39" s="121"/>
      <c r="E39" s="121"/>
      <c r="F39" s="121"/>
      <c r="G39" s="121"/>
      <c r="H39" s="121"/>
      <c r="I39" s="121"/>
      <c r="J39" s="121"/>
      <c r="K39" s="121"/>
      <c r="L39" s="121"/>
      <c r="M39" s="121"/>
      <c r="N39" s="121"/>
      <c r="O39" s="121"/>
      <c r="P39" s="121"/>
      <c r="Q39" s="121"/>
      <c r="R39" s="121"/>
      <c r="S39" s="121"/>
      <c r="T39" s="121"/>
      <c r="U39" s="121"/>
    </row>
    <row r="40" spans="1:21" x14ac:dyDescent="0.25">
      <c r="A40" s="121"/>
      <c r="B40" s="121"/>
      <c r="C40" s="121"/>
      <c r="D40" s="121"/>
      <c r="E40" s="121"/>
      <c r="F40" s="121"/>
      <c r="G40" s="121"/>
      <c r="H40" s="121"/>
      <c r="I40" s="121"/>
      <c r="J40" s="121"/>
      <c r="K40" s="121"/>
      <c r="L40" s="121"/>
      <c r="M40" s="121"/>
      <c r="N40" s="121"/>
      <c r="O40" s="121"/>
      <c r="P40" s="121"/>
      <c r="Q40" s="121"/>
      <c r="R40" s="121"/>
      <c r="S40" s="121"/>
      <c r="T40" s="121"/>
      <c r="U40" s="121"/>
    </row>
    <row r="41" spans="1:21" x14ac:dyDescent="0.25">
      <c r="A41" s="121"/>
      <c r="B41" s="121"/>
      <c r="C41" s="121"/>
      <c r="D41" s="121"/>
      <c r="E41" s="121"/>
      <c r="F41" s="121"/>
      <c r="G41" s="121"/>
      <c r="H41" s="121"/>
      <c r="I41" s="121"/>
      <c r="J41" s="121"/>
      <c r="K41" s="121"/>
      <c r="L41" s="121"/>
      <c r="M41" s="121"/>
      <c r="N41" s="121"/>
      <c r="O41" s="121"/>
      <c r="P41" s="121"/>
      <c r="Q41" s="121"/>
      <c r="R41" s="121"/>
      <c r="S41" s="121"/>
      <c r="T41" s="121"/>
      <c r="U41" s="121"/>
    </row>
    <row r="42" spans="1:21" x14ac:dyDescent="0.25">
      <c r="A42" s="121"/>
      <c r="B42" s="121"/>
      <c r="C42" s="121"/>
      <c r="D42" s="121"/>
      <c r="E42" s="121"/>
      <c r="F42" s="121"/>
      <c r="G42" s="121"/>
      <c r="H42" s="121"/>
      <c r="I42" s="121"/>
      <c r="J42" s="121"/>
      <c r="K42" s="121"/>
      <c r="L42" s="121"/>
      <c r="M42" s="121"/>
      <c r="N42" s="121"/>
      <c r="O42" s="121"/>
      <c r="P42" s="121"/>
      <c r="Q42" s="121"/>
      <c r="R42" s="121"/>
      <c r="S42" s="121"/>
      <c r="T42" s="121"/>
      <c r="U42" s="121"/>
    </row>
    <row r="43" spans="1:21" x14ac:dyDescent="0.25">
      <c r="A43" s="121"/>
      <c r="B43" s="121"/>
      <c r="C43" s="121"/>
      <c r="D43" s="121"/>
      <c r="E43" s="121"/>
      <c r="F43" s="121"/>
      <c r="G43" s="121"/>
      <c r="H43" s="121"/>
      <c r="I43" s="121"/>
      <c r="J43" s="121"/>
      <c r="K43" s="121"/>
      <c r="L43" s="121"/>
      <c r="M43" s="121"/>
      <c r="N43" s="121"/>
      <c r="O43" s="121"/>
      <c r="P43" s="121"/>
      <c r="Q43" s="121"/>
      <c r="R43" s="121"/>
      <c r="S43" s="121"/>
      <c r="T43" s="121"/>
      <c r="U43" s="121"/>
    </row>
    <row r="44" spans="1:21" x14ac:dyDescent="0.25">
      <c r="A44" s="121"/>
      <c r="B44" s="121"/>
      <c r="C44" s="121"/>
      <c r="D44" s="121"/>
      <c r="E44" s="121"/>
      <c r="F44" s="121"/>
      <c r="G44" s="121"/>
      <c r="H44" s="121"/>
      <c r="I44" s="121"/>
      <c r="J44" s="121"/>
      <c r="K44" s="121"/>
      <c r="L44" s="121"/>
      <c r="M44" s="121"/>
      <c r="N44" s="121"/>
      <c r="O44" s="121"/>
      <c r="P44" s="121"/>
      <c r="Q44" s="121"/>
      <c r="R44" s="121"/>
      <c r="S44" s="121"/>
      <c r="T44" s="121"/>
      <c r="U44" s="121"/>
    </row>
    <row r="45" spans="1:21" x14ac:dyDescent="0.25">
      <c r="A45" s="121"/>
      <c r="B45" s="121"/>
      <c r="C45" s="121"/>
      <c r="D45" s="121"/>
      <c r="E45" s="121"/>
      <c r="F45" s="121"/>
      <c r="G45" s="121"/>
      <c r="H45" s="121"/>
      <c r="I45" s="121"/>
      <c r="J45" s="121"/>
      <c r="K45" s="121"/>
      <c r="L45" s="121"/>
      <c r="M45" s="121"/>
      <c r="N45" s="121"/>
      <c r="O45" s="121"/>
      <c r="P45" s="121"/>
      <c r="Q45" s="121"/>
      <c r="R45" s="121"/>
      <c r="S45" s="121"/>
      <c r="T45" s="121"/>
      <c r="U45" s="121"/>
    </row>
    <row r="46" spans="1:21" x14ac:dyDescent="0.25">
      <c r="A46" s="121"/>
      <c r="B46" s="121"/>
      <c r="C46" s="121"/>
      <c r="D46" s="121"/>
      <c r="E46" s="121"/>
      <c r="F46" s="121"/>
      <c r="G46" s="121"/>
      <c r="H46" s="121"/>
      <c r="I46" s="121"/>
      <c r="J46" s="121"/>
      <c r="K46" s="121"/>
      <c r="L46" s="121"/>
      <c r="M46" s="121"/>
      <c r="N46" s="121"/>
      <c r="O46" s="121"/>
      <c r="P46" s="121"/>
      <c r="Q46" s="121"/>
      <c r="R46" s="121"/>
      <c r="S46" s="121"/>
      <c r="T46" s="121"/>
      <c r="U46" s="121"/>
    </row>
    <row r="47" spans="1:21" x14ac:dyDescent="0.25">
      <c r="A47" s="121"/>
      <c r="B47" s="121"/>
      <c r="C47" s="121"/>
      <c r="D47" s="121"/>
      <c r="E47" s="121"/>
      <c r="F47" s="121"/>
      <c r="G47" s="121"/>
      <c r="H47" s="121"/>
      <c r="I47" s="121"/>
      <c r="J47" s="121"/>
      <c r="K47" s="121"/>
      <c r="L47" s="121"/>
      <c r="M47" s="121"/>
      <c r="N47" s="121"/>
      <c r="O47" s="121"/>
      <c r="P47" s="121"/>
      <c r="Q47" s="121"/>
      <c r="R47" s="121"/>
      <c r="S47" s="121"/>
      <c r="T47" s="121"/>
      <c r="U47" s="121"/>
    </row>
    <row r="48" spans="1:21" x14ac:dyDescent="0.25">
      <c r="A48" s="121"/>
      <c r="B48" s="121"/>
      <c r="C48" s="121"/>
      <c r="D48" s="121"/>
      <c r="E48" s="121"/>
      <c r="F48" s="121"/>
      <c r="G48" s="121"/>
      <c r="H48" s="121"/>
      <c r="I48" s="121"/>
      <c r="J48" s="121"/>
      <c r="K48" s="121"/>
      <c r="L48" s="121"/>
      <c r="M48" s="121"/>
      <c r="N48" s="121"/>
      <c r="O48" s="121"/>
      <c r="P48" s="121"/>
      <c r="Q48" s="121"/>
      <c r="R48" s="121"/>
      <c r="S48" s="121"/>
      <c r="T48" s="121"/>
      <c r="U48" s="121"/>
    </row>
    <row r="49" spans="1:21" x14ac:dyDescent="0.25">
      <c r="A49" s="121"/>
      <c r="B49" s="121"/>
      <c r="C49" s="121"/>
      <c r="D49" s="121"/>
      <c r="E49" s="121"/>
      <c r="F49" s="121"/>
      <c r="G49" s="121"/>
      <c r="H49" s="121"/>
      <c r="I49" s="121"/>
      <c r="J49" s="121"/>
      <c r="K49" s="121"/>
      <c r="L49" s="121"/>
      <c r="M49" s="121"/>
      <c r="N49" s="121"/>
      <c r="O49" s="121"/>
      <c r="P49" s="121"/>
      <c r="Q49" s="121"/>
      <c r="R49" s="121"/>
      <c r="S49" s="121"/>
      <c r="T49" s="121"/>
      <c r="U49" s="121"/>
    </row>
    <row r="50" spans="1:21" x14ac:dyDescent="0.25">
      <c r="A50" s="121"/>
      <c r="B50" s="121"/>
      <c r="C50" s="121"/>
      <c r="D50" s="121"/>
      <c r="E50" s="121"/>
      <c r="F50" s="121"/>
      <c r="G50" s="121"/>
      <c r="H50" s="121"/>
      <c r="I50" s="121"/>
      <c r="J50" s="121"/>
      <c r="K50" s="121"/>
      <c r="L50" s="121"/>
      <c r="M50" s="121"/>
      <c r="N50" s="121"/>
      <c r="O50" s="121"/>
      <c r="P50" s="121"/>
      <c r="Q50" s="121"/>
      <c r="R50" s="121"/>
      <c r="S50" s="121"/>
      <c r="T50" s="121"/>
      <c r="U50" s="121"/>
    </row>
    <row r="51" spans="1:21" x14ac:dyDescent="0.25">
      <c r="A51" s="121"/>
      <c r="B51" s="121"/>
      <c r="C51" s="121"/>
      <c r="D51" s="121"/>
      <c r="E51" s="121"/>
      <c r="F51" s="121"/>
      <c r="G51" s="121"/>
      <c r="H51" s="121"/>
      <c r="I51" s="121"/>
      <c r="J51" s="121"/>
      <c r="K51" s="121"/>
      <c r="L51" s="121"/>
      <c r="M51" s="121"/>
      <c r="N51" s="121"/>
      <c r="O51" s="121"/>
      <c r="P51" s="121"/>
      <c r="Q51" s="121"/>
      <c r="R51" s="121"/>
      <c r="S51" s="121"/>
      <c r="T51" s="121"/>
      <c r="U51" s="121"/>
    </row>
    <row r="52" spans="1:21" x14ac:dyDescent="0.25">
      <c r="A52" s="121"/>
      <c r="B52" s="121"/>
      <c r="C52" s="121"/>
      <c r="D52" s="121"/>
      <c r="E52" s="121"/>
      <c r="F52" s="121"/>
      <c r="G52" s="121"/>
      <c r="H52" s="121"/>
      <c r="I52" s="121"/>
      <c r="J52" s="121"/>
      <c r="K52" s="121"/>
      <c r="L52" s="121"/>
      <c r="M52" s="121"/>
      <c r="N52" s="121"/>
      <c r="O52" s="121"/>
      <c r="P52" s="121"/>
      <c r="Q52" s="121"/>
      <c r="R52" s="121"/>
      <c r="S52" s="121"/>
      <c r="T52" s="121"/>
      <c r="U52" s="121"/>
    </row>
    <row r="53" spans="1:21" x14ac:dyDescent="0.25">
      <c r="A53" s="121"/>
      <c r="B53" s="121"/>
      <c r="C53" s="121"/>
      <c r="D53" s="121"/>
      <c r="E53" s="121"/>
      <c r="F53" s="121"/>
      <c r="G53" s="121"/>
      <c r="H53" s="121"/>
      <c r="I53" s="121"/>
      <c r="J53" s="121"/>
      <c r="K53" s="121"/>
      <c r="L53" s="121"/>
      <c r="M53" s="121"/>
      <c r="N53" s="121"/>
      <c r="O53" s="121"/>
      <c r="P53" s="121"/>
      <c r="Q53" s="121"/>
      <c r="R53" s="121"/>
      <c r="S53" s="121"/>
      <c r="T53" s="121"/>
      <c r="U53" s="121"/>
    </row>
    <row r="54" spans="1:21" x14ac:dyDescent="0.25">
      <c r="A54" s="121"/>
      <c r="B54" s="121"/>
      <c r="C54" s="121"/>
      <c r="D54" s="121"/>
      <c r="E54" s="121"/>
      <c r="F54" s="121"/>
      <c r="G54" s="121"/>
      <c r="H54" s="121"/>
      <c r="I54" s="121"/>
      <c r="J54" s="121"/>
      <c r="K54" s="121"/>
      <c r="L54" s="121"/>
      <c r="M54" s="121"/>
      <c r="N54" s="121"/>
      <c r="O54" s="121"/>
      <c r="P54" s="121"/>
      <c r="Q54" s="121"/>
      <c r="R54" s="121"/>
      <c r="S54" s="121"/>
      <c r="T54" s="121"/>
      <c r="U54" s="121"/>
    </row>
    <row r="55" spans="1:21" x14ac:dyDescent="0.25">
      <c r="A55" s="121"/>
      <c r="B55" s="121"/>
      <c r="C55" s="121"/>
      <c r="D55" s="121"/>
      <c r="E55" s="121"/>
      <c r="F55" s="121"/>
      <c r="G55" s="121"/>
      <c r="H55" s="121"/>
      <c r="I55" s="121"/>
      <c r="J55" s="121"/>
      <c r="K55" s="121"/>
      <c r="L55" s="121"/>
      <c r="M55" s="121"/>
      <c r="N55" s="121"/>
      <c r="O55" s="121"/>
      <c r="P55" s="121"/>
      <c r="Q55" s="121"/>
      <c r="R55" s="121"/>
      <c r="S55" s="121"/>
      <c r="T55" s="121"/>
      <c r="U55" s="121"/>
    </row>
    <row r="56" spans="1:21" x14ac:dyDescent="0.25">
      <c r="A56" s="121"/>
      <c r="B56" s="121"/>
      <c r="C56" s="121"/>
      <c r="D56" s="121"/>
      <c r="E56" s="121"/>
      <c r="F56" s="121"/>
      <c r="G56" s="121"/>
      <c r="H56" s="121"/>
      <c r="I56" s="121"/>
      <c r="J56" s="121"/>
      <c r="K56" s="121"/>
      <c r="L56" s="121"/>
      <c r="M56" s="121"/>
      <c r="N56" s="121"/>
      <c r="O56" s="121"/>
      <c r="P56" s="121"/>
      <c r="Q56" s="121"/>
      <c r="R56" s="121"/>
      <c r="S56" s="121"/>
      <c r="T56" s="121"/>
      <c r="U56" s="121"/>
    </row>
    <row r="57" spans="1:21" x14ac:dyDescent="0.25">
      <c r="A57" s="121"/>
      <c r="B57" s="121"/>
      <c r="C57" s="121"/>
      <c r="D57" s="121"/>
      <c r="E57" s="121"/>
      <c r="F57" s="121"/>
      <c r="G57" s="121"/>
      <c r="H57" s="121"/>
      <c r="I57" s="121"/>
      <c r="J57" s="121"/>
      <c r="K57" s="121"/>
      <c r="L57" s="121"/>
      <c r="M57" s="121"/>
      <c r="N57" s="121"/>
      <c r="O57" s="121"/>
      <c r="P57" s="121"/>
      <c r="Q57" s="121"/>
      <c r="R57" s="121"/>
      <c r="S57" s="121"/>
      <c r="T57" s="121"/>
      <c r="U57" s="121"/>
    </row>
    <row r="58" spans="1:21" x14ac:dyDescent="0.25">
      <c r="A58" s="121"/>
      <c r="B58" s="121"/>
      <c r="C58" s="121"/>
      <c r="D58" s="121"/>
      <c r="E58" s="121"/>
      <c r="F58" s="121"/>
      <c r="G58" s="121"/>
      <c r="H58" s="121"/>
      <c r="I58" s="121"/>
      <c r="J58" s="121"/>
      <c r="K58" s="121"/>
      <c r="L58" s="121"/>
      <c r="M58" s="121"/>
      <c r="N58" s="121"/>
      <c r="O58" s="121"/>
      <c r="P58" s="121"/>
      <c r="Q58" s="121"/>
      <c r="R58" s="121"/>
      <c r="S58" s="121"/>
      <c r="T58" s="121"/>
      <c r="U58" s="121"/>
    </row>
    <row r="59" spans="1:21" x14ac:dyDescent="0.25">
      <c r="A59" s="121"/>
      <c r="B59" s="121"/>
      <c r="C59" s="121"/>
      <c r="D59" s="121"/>
      <c r="E59" s="121"/>
      <c r="F59" s="121"/>
      <c r="G59" s="121"/>
      <c r="H59" s="121"/>
      <c r="I59" s="121"/>
      <c r="J59" s="121"/>
      <c r="K59" s="121"/>
      <c r="L59" s="121"/>
      <c r="M59" s="121"/>
      <c r="N59" s="121"/>
      <c r="O59" s="121"/>
      <c r="P59" s="121"/>
      <c r="Q59" s="121"/>
      <c r="R59" s="121"/>
      <c r="S59" s="121"/>
      <c r="T59" s="121"/>
      <c r="U59" s="121"/>
    </row>
    <row r="60" spans="1:21" x14ac:dyDescent="0.25">
      <c r="A60" s="121"/>
      <c r="B60" s="121"/>
      <c r="C60" s="121"/>
      <c r="D60" s="121"/>
      <c r="E60" s="121"/>
      <c r="F60" s="121"/>
      <c r="G60" s="121"/>
      <c r="H60" s="121"/>
      <c r="I60" s="121"/>
      <c r="J60" s="121"/>
      <c r="K60" s="121"/>
      <c r="L60" s="121"/>
      <c r="M60" s="121"/>
      <c r="N60" s="121"/>
      <c r="O60" s="121"/>
      <c r="P60" s="121"/>
      <c r="Q60" s="121"/>
      <c r="R60" s="121"/>
      <c r="S60" s="121"/>
      <c r="T60" s="121"/>
      <c r="U60" s="121"/>
    </row>
    <row r="61" spans="1:21" x14ac:dyDescent="0.25">
      <c r="A61" s="121"/>
      <c r="B61" s="121"/>
      <c r="C61" s="121"/>
      <c r="D61" s="121"/>
      <c r="E61" s="121"/>
      <c r="F61" s="121"/>
      <c r="G61" s="121"/>
      <c r="H61" s="121"/>
      <c r="I61" s="121"/>
      <c r="J61" s="121"/>
      <c r="K61" s="121"/>
      <c r="L61" s="121"/>
      <c r="M61" s="121"/>
      <c r="N61" s="121"/>
      <c r="O61" s="121"/>
      <c r="P61" s="121"/>
      <c r="Q61" s="121"/>
      <c r="R61" s="121"/>
      <c r="S61" s="121"/>
      <c r="T61" s="121"/>
      <c r="U61" s="121"/>
    </row>
    <row r="62" spans="1:21" x14ac:dyDescent="0.25">
      <c r="A62" s="121"/>
      <c r="B62" s="121"/>
      <c r="C62" s="121"/>
      <c r="D62" s="121"/>
      <c r="E62" s="121"/>
      <c r="F62" s="121"/>
      <c r="G62" s="121"/>
      <c r="H62" s="121"/>
      <c r="I62" s="121"/>
      <c r="J62" s="121"/>
      <c r="K62" s="121"/>
      <c r="L62" s="121"/>
      <c r="M62" s="121"/>
      <c r="N62" s="121"/>
      <c r="O62" s="121"/>
      <c r="P62" s="121"/>
      <c r="Q62" s="121"/>
      <c r="R62" s="121"/>
      <c r="S62" s="121"/>
      <c r="T62" s="121"/>
      <c r="U62" s="121"/>
    </row>
    <row r="63" spans="1:21" x14ac:dyDescent="0.25">
      <c r="A63" s="121"/>
      <c r="B63" s="121"/>
      <c r="C63" s="121"/>
      <c r="D63" s="121"/>
      <c r="E63" s="121"/>
      <c r="F63" s="121"/>
      <c r="G63" s="121"/>
      <c r="H63" s="121"/>
      <c r="I63" s="121"/>
      <c r="J63" s="121"/>
      <c r="K63" s="121"/>
      <c r="L63" s="121"/>
      <c r="M63" s="121"/>
      <c r="N63" s="121"/>
      <c r="O63" s="121"/>
      <c r="P63" s="121"/>
      <c r="Q63" s="121"/>
      <c r="R63" s="121"/>
      <c r="S63" s="121"/>
      <c r="T63" s="121"/>
      <c r="U63" s="121"/>
    </row>
    <row r="64" spans="1:21" x14ac:dyDescent="0.25">
      <c r="A64" s="121"/>
      <c r="B64" s="121"/>
      <c r="C64" s="121"/>
      <c r="D64" s="121"/>
      <c r="E64" s="121"/>
      <c r="F64" s="121"/>
      <c r="G64" s="121"/>
      <c r="H64" s="121"/>
      <c r="I64" s="121"/>
      <c r="J64" s="121"/>
      <c r="K64" s="121"/>
      <c r="L64" s="121"/>
      <c r="M64" s="121"/>
      <c r="N64" s="121"/>
      <c r="O64" s="121"/>
      <c r="P64" s="121"/>
      <c r="Q64" s="121"/>
      <c r="R64" s="121"/>
      <c r="S64" s="121"/>
      <c r="T64" s="121"/>
      <c r="U64" s="121"/>
    </row>
    <row r="65" spans="1:21" x14ac:dyDescent="0.25">
      <c r="A65" s="121"/>
      <c r="B65" s="121"/>
      <c r="C65" s="121"/>
      <c r="D65" s="121"/>
      <c r="E65" s="121"/>
      <c r="F65" s="121"/>
      <c r="G65" s="121"/>
      <c r="H65" s="121"/>
      <c r="I65" s="121"/>
      <c r="J65" s="121"/>
      <c r="K65" s="121"/>
      <c r="L65" s="121"/>
      <c r="M65" s="121"/>
      <c r="N65" s="121"/>
      <c r="O65" s="121"/>
      <c r="P65" s="121"/>
      <c r="Q65" s="121"/>
      <c r="R65" s="121"/>
      <c r="S65" s="121"/>
      <c r="T65" s="121"/>
      <c r="U65" s="121"/>
    </row>
    <row r="66" spans="1:21" x14ac:dyDescent="0.25">
      <c r="A66" s="121"/>
      <c r="B66" s="121"/>
      <c r="C66" s="121"/>
      <c r="D66" s="121"/>
      <c r="E66" s="121"/>
      <c r="F66" s="121"/>
      <c r="G66" s="121"/>
      <c r="H66" s="121"/>
      <c r="I66" s="121"/>
      <c r="J66" s="121"/>
      <c r="K66" s="121"/>
      <c r="L66" s="121"/>
      <c r="M66" s="121"/>
      <c r="N66" s="121"/>
      <c r="O66" s="121"/>
      <c r="P66" s="121"/>
      <c r="Q66" s="121"/>
      <c r="R66" s="121"/>
      <c r="S66" s="121"/>
      <c r="T66" s="121"/>
      <c r="U66" s="121"/>
    </row>
    <row r="67" spans="1:21" x14ac:dyDescent="0.25">
      <c r="A67" s="121"/>
      <c r="B67" s="121"/>
      <c r="C67" s="121"/>
      <c r="D67" s="121"/>
      <c r="E67" s="121"/>
      <c r="F67" s="121"/>
      <c r="G67" s="121"/>
      <c r="H67" s="121"/>
      <c r="I67" s="121"/>
      <c r="J67" s="121"/>
      <c r="K67" s="121"/>
      <c r="L67" s="121"/>
      <c r="M67" s="121"/>
      <c r="N67" s="121"/>
      <c r="O67" s="121"/>
      <c r="P67" s="121"/>
      <c r="Q67" s="121"/>
      <c r="R67" s="121"/>
      <c r="S67" s="121"/>
      <c r="T67" s="121"/>
      <c r="U67" s="121"/>
    </row>
    <row r="68" spans="1:21" x14ac:dyDescent="0.25">
      <c r="A68" s="121"/>
      <c r="B68" s="121"/>
      <c r="C68" s="121"/>
      <c r="D68" s="121"/>
      <c r="E68" s="121"/>
      <c r="F68" s="121"/>
      <c r="G68" s="121"/>
      <c r="H68" s="121"/>
      <c r="I68" s="121"/>
      <c r="J68" s="121"/>
      <c r="K68" s="121"/>
      <c r="L68" s="121"/>
      <c r="M68" s="121"/>
      <c r="N68" s="121"/>
      <c r="O68" s="121"/>
      <c r="P68" s="121"/>
      <c r="Q68" s="121"/>
      <c r="R68" s="121"/>
      <c r="S68" s="121"/>
      <c r="T68" s="121"/>
      <c r="U68" s="121"/>
    </row>
    <row r="69" spans="1:21" x14ac:dyDescent="0.25">
      <c r="A69" s="121"/>
      <c r="B69" s="121"/>
      <c r="C69" s="121"/>
      <c r="D69" s="121"/>
      <c r="E69" s="121"/>
      <c r="F69" s="121"/>
      <c r="G69" s="121"/>
      <c r="H69" s="121"/>
      <c r="I69" s="121"/>
      <c r="J69" s="121"/>
      <c r="K69" s="121"/>
      <c r="L69" s="121"/>
      <c r="M69" s="121"/>
      <c r="N69" s="121"/>
      <c r="O69" s="121"/>
      <c r="P69" s="121"/>
      <c r="Q69" s="121"/>
      <c r="R69" s="121"/>
      <c r="S69" s="121"/>
      <c r="T69" s="121"/>
      <c r="U69" s="121"/>
    </row>
    <row r="70" spans="1:21" x14ac:dyDescent="0.25">
      <c r="A70" s="121"/>
      <c r="B70" s="121"/>
      <c r="C70" s="121"/>
      <c r="D70" s="121"/>
      <c r="E70" s="121"/>
      <c r="F70" s="121"/>
      <c r="G70" s="121"/>
      <c r="H70" s="121"/>
      <c r="I70" s="121"/>
      <c r="J70" s="121"/>
      <c r="K70" s="121"/>
      <c r="L70" s="121"/>
      <c r="M70" s="121"/>
      <c r="N70" s="121"/>
      <c r="O70" s="121"/>
      <c r="P70" s="121"/>
      <c r="Q70" s="121"/>
      <c r="R70" s="121"/>
      <c r="S70" s="121"/>
      <c r="T70" s="121"/>
      <c r="U70" s="121"/>
    </row>
    <row r="71" spans="1:21" x14ac:dyDescent="0.25">
      <c r="A71" s="121"/>
      <c r="B71" s="121"/>
      <c r="C71" s="121"/>
      <c r="D71" s="121"/>
      <c r="E71" s="121"/>
      <c r="F71" s="121"/>
      <c r="G71" s="121"/>
      <c r="H71" s="121"/>
      <c r="I71" s="121"/>
      <c r="J71" s="121"/>
      <c r="K71" s="121"/>
      <c r="L71" s="121"/>
      <c r="M71" s="121"/>
      <c r="N71" s="121"/>
      <c r="O71" s="121"/>
      <c r="P71" s="121"/>
      <c r="Q71" s="121"/>
      <c r="R71" s="121"/>
      <c r="S71" s="121"/>
      <c r="T71" s="121"/>
      <c r="U71" s="121"/>
    </row>
    <row r="72" spans="1:21" x14ac:dyDescent="0.25">
      <c r="A72" s="121"/>
      <c r="B72" s="121"/>
      <c r="C72" s="121"/>
      <c r="D72" s="121"/>
      <c r="E72" s="121"/>
      <c r="F72" s="121"/>
      <c r="G72" s="121"/>
      <c r="H72" s="121"/>
      <c r="I72" s="121"/>
      <c r="J72" s="121"/>
      <c r="K72" s="121"/>
      <c r="L72" s="121"/>
      <c r="M72" s="121"/>
      <c r="N72" s="121"/>
      <c r="O72" s="121"/>
      <c r="P72" s="121"/>
      <c r="Q72" s="121"/>
      <c r="R72" s="121"/>
      <c r="S72" s="121"/>
      <c r="T72" s="121"/>
      <c r="U72" s="121"/>
    </row>
    <row r="73" spans="1:21" x14ac:dyDescent="0.25">
      <c r="A73" s="121"/>
      <c r="B73" s="121"/>
      <c r="C73" s="121"/>
      <c r="D73" s="121"/>
      <c r="E73" s="121"/>
      <c r="F73" s="121"/>
      <c r="G73" s="121"/>
      <c r="H73" s="121"/>
      <c r="I73" s="121"/>
      <c r="J73" s="121"/>
      <c r="K73" s="121"/>
      <c r="L73" s="121"/>
      <c r="M73" s="121"/>
      <c r="N73" s="121"/>
      <c r="O73" s="121"/>
      <c r="P73" s="121"/>
      <c r="Q73" s="121"/>
      <c r="R73" s="121"/>
      <c r="S73" s="121"/>
      <c r="T73" s="121"/>
      <c r="U73" s="121"/>
    </row>
    <row r="74" spans="1:21" x14ac:dyDescent="0.25">
      <c r="A74" s="121"/>
      <c r="B74" s="121"/>
      <c r="C74" s="121"/>
      <c r="D74" s="121"/>
      <c r="E74" s="121"/>
      <c r="F74" s="121"/>
      <c r="G74" s="121"/>
      <c r="H74" s="121"/>
      <c r="I74" s="121"/>
      <c r="J74" s="121"/>
      <c r="K74" s="121"/>
      <c r="L74" s="121"/>
      <c r="M74" s="121"/>
      <c r="N74" s="121"/>
      <c r="O74" s="121"/>
      <c r="P74" s="121"/>
      <c r="Q74" s="121"/>
      <c r="R74" s="121"/>
      <c r="S74" s="121"/>
      <c r="T74" s="121"/>
      <c r="U74" s="121"/>
    </row>
    <row r="75" spans="1:21" x14ac:dyDescent="0.25">
      <c r="A75" s="121"/>
      <c r="B75" s="121"/>
      <c r="C75" s="121"/>
      <c r="D75" s="121"/>
      <c r="E75" s="121"/>
      <c r="F75" s="121"/>
      <c r="G75" s="121"/>
      <c r="H75" s="121"/>
      <c r="I75" s="121"/>
      <c r="J75" s="121"/>
      <c r="K75" s="121"/>
      <c r="L75" s="121"/>
      <c r="M75" s="121"/>
      <c r="N75" s="121"/>
      <c r="O75" s="121"/>
      <c r="P75" s="121"/>
      <c r="Q75" s="121"/>
      <c r="R75" s="121"/>
      <c r="S75" s="121"/>
      <c r="T75" s="121"/>
      <c r="U75" s="121"/>
    </row>
    <row r="76" spans="1:21" x14ac:dyDescent="0.25">
      <c r="A76" s="121"/>
      <c r="B76" s="121"/>
      <c r="C76" s="121"/>
      <c r="D76" s="121"/>
      <c r="E76" s="121"/>
      <c r="F76" s="121"/>
      <c r="G76" s="121"/>
      <c r="H76" s="121"/>
      <c r="I76" s="121"/>
      <c r="J76" s="121"/>
      <c r="K76" s="121"/>
      <c r="L76" s="121"/>
      <c r="M76" s="121"/>
      <c r="N76" s="121"/>
      <c r="O76" s="121"/>
      <c r="P76" s="121"/>
      <c r="Q76" s="121"/>
      <c r="R76" s="121"/>
      <c r="S76" s="121"/>
      <c r="T76" s="121"/>
      <c r="U76" s="121"/>
    </row>
    <row r="77" spans="1:21" x14ac:dyDescent="0.25">
      <c r="A77" s="121"/>
      <c r="B77" s="121"/>
      <c r="C77" s="121"/>
      <c r="D77" s="121"/>
      <c r="E77" s="121"/>
      <c r="F77" s="121"/>
      <c r="G77" s="121"/>
      <c r="H77" s="121"/>
      <c r="I77" s="121"/>
      <c r="J77" s="121"/>
      <c r="K77" s="121"/>
      <c r="L77" s="121"/>
      <c r="M77" s="121"/>
      <c r="N77" s="121"/>
      <c r="O77" s="121"/>
      <c r="P77" s="121"/>
      <c r="Q77" s="121"/>
      <c r="R77" s="121"/>
      <c r="S77" s="121"/>
      <c r="T77" s="121"/>
      <c r="U77" s="121"/>
    </row>
    <row r="78" spans="1:21" x14ac:dyDescent="0.25">
      <c r="A78" s="121"/>
      <c r="B78" s="121"/>
      <c r="C78" s="121"/>
      <c r="D78" s="121"/>
      <c r="E78" s="121"/>
      <c r="F78" s="121"/>
      <c r="G78" s="121"/>
      <c r="H78" s="121"/>
      <c r="I78" s="121"/>
      <c r="J78" s="121"/>
      <c r="K78" s="121"/>
      <c r="L78" s="121"/>
      <c r="M78" s="121"/>
      <c r="N78" s="121"/>
      <c r="O78" s="121"/>
      <c r="P78" s="121"/>
      <c r="Q78" s="121"/>
      <c r="R78" s="121"/>
      <c r="S78" s="121"/>
      <c r="T78" s="121"/>
      <c r="U78" s="121"/>
    </row>
    <row r="79" spans="1:21" x14ac:dyDescent="0.25">
      <c r="A79" s="121"/>
      <c r="B79" s="121"/>
      <c r="C79" s="121"/>
      <c r="D79" s="121"/>
      <c r="E79" s="121"/>
      <c r="F79" s="121"/>
      <c r="G79" s="121"/>
      <c r="H79" s="121"/>
      <c r="I79" s="121"/>
      <c r="J79" s="121"/>
      <c r="K79" s="121"/>
      <c r="L79" s="121"/>
      <c r="M79" s="121"/>
      <c r="N79" s="121"/>
      <c r="O79" s="121"/>
      <c r="P79" s="121"/>
      <c r="Q79" s="121"/>
      <c r="R79" s="121"/>
      <c r="S79" s="121"/>
      <c r="T79" s="121"/>
      <c r="U79" s="121"/>
    </row>
    <row r="80" spans="1:21" x14ac:dyDescent="0.25">
      <c r="A80" s="121"/>
      <c r="B80" s="121"/>
      <c r="C80" s="121"/>
      <c r="D80" s="121"/>
      <c r="E80" s="121"/>
      <c r="F80" s="121"/>
      <c r="G80" s="121"/>
      <c r="H80" s="121"/>
      <c r="I80" s="121"/>
      <c r="J80" s="121"/>
      <c r="K80" s="121"/>
      <c r="L80" s="121"/>
      <c r="M80" s="121"/>
      <c r="N80" s="121"/>
      <c r="O80" s="121"/>
      <c r="P80" s="121"/>
      <c r="Q80" s="121"/>
      <c r="R80" s="121"/>
      <c r="S80" s="121"/>
      <c r="T80" s="121"/>
      <c r="U80" s="121"/>
    </row>
    <row r="81" spans="1:21" x14ac:dyDescent="0.25">
      <c r="A81" s="121"/>
      <c r="B81" s="121"/>
      <c r="C81" s="121"/>
      <c r="D81" s="121"/>
      <c r="E81" s="121"/>
      <c r="F81" s="121"/>
      <c r="G81" s="121"/>
      <c r="H81" s="121"/>
      <c r="I81" s="121"/>
      <c r="J81" s="121"/>
      <c r="K81" s="121"/>
      <c r="L81" s="121"/>
      <c r="M81" s="121"/>
      <c r="N81" s="121"/>
      <c r="O81" s="121"/>
      <c r="P81" s="121"/>
      <c r="Q81" s="121"/>
      <c r="R81" s="121"/>
      <c r="S81" s="121"/>
      <c r="T81" s="121"/>
      <c r="U81" s="121"/>
    </row>
    <row r="82" spans="1:21" x14ac:dyDescent="0.25">
      <c r="A82" s="121"/>
      <c r="B82" s="121"/>
      <c r="C82" s="121"/>
      <c r="D82" s="121"/>
      <c r="E82" s="121"/>
      <c r="F82" s="121"/>
      <c r="G82" s="121"/>
      <c r="H82" s="121"/>
      <c r="I82" s="121"/>
      <c r="J82" s="121"/>
      <c r="K82" s="121"/>
      <c r="L82" s="121"/>
      <c r="M82" s="121"/>
      <c r="N82" s="121"/>
      <c r="O82" s="121"/>
      <c r="P82" s="121"/>
      <c r="Q82" s="121"/>
      <c r="R82" s="121"/>
      <c r="S82" s="121"/>
      <c r="T82" s="121"/>
      <c r="U82" s="121"/>
    </row>
    <row r="83" spans="1:21" x14ac:dyDescent="0.25">
      <c r="A83" s="121"/>
      <c r="B83" s="121"/>
      <c r="C83" s="121"/>
      <c r="D83" s="121"/>
      <c r="E83" s="121"/>
      <c r="F83" s="121"/>
      <c r="G83" s="121"/>
      <c r="H83" s="121"/>
      <c r="I83" s="121"/>
      <c r="J83" s="121"/>
      <c r="K83" s="121"/>
      <c r="L83" s="121"/>
      <c r="M83" s="121"/>
      <c r="N83" s="121"/>
      <c r="O83" s="121"/>
      <c r="P83" s="121"/>
      <c r="Q83" s="121"/>
      <c r="R83" s="121"/>
      <c r="S83" s="121"/>
      <c r="T83" s="121"/>
      <c r="U83" s="121"/>
    </row>
    <row r="84" spans="1:21" x14ac:dyDescent="0.25">
      <c r="A84" s="121"/>
      <c r="B84" s="121"/>
      <c r="C84" s="121"/>
      <c r="D84" s="121"/>
      <c r="E84" s="121"/>
      <c r="F84" s="121"/>
      <c r="G84" s="121"/>
      <c r="H84" s="121"/>
      <c r="I84" s="121"/>
      <c r="J84" s="121"/>
      <c r="K84" s="121"/>
      <c r="L84" s="121"/>
      <c r="M84" s="121"/>
      <c r="N84" s="121"/>
      <c r="O84" s="121"/>
      <c r="P84" s="121"/>
      <c r="Q84" s="121"/>
      <c r="R84" s="121"/>
      <c r="S84" s="121"/>
      <c r="T84" s="121"/>
      <c r="U84" s="121"/>
    </row>
    <row r="85" spans="1:21" x14ac:dyDescent="0.25">
      <c r="A85" s="121"/>
      <c r="B85" s="121"/>
      <c r="C85" s="121"/>
      <c r="D85" s="121"/>
      <c r="E85" s="121"/>
      <c r="F85" s="121"/>
      <c r="G85" s="121"/>
      <c r="H85" s="121"/>
      <c r="I85" s="121"/>
      <c r="J85" s="121"/>
      <c r="K85" s="121"/>
      <c r="L85" s="121"/>
      <c r="M85" s="121"/>
      <c r="N85" s="121"/>
      <c r="O85" s="121"/>
      <c r="P85" s="121"/>
      <c r="Q85" s="121"/>
      <c r="R85" s="121"/>
      <c r="S85" s="121"/>
      <c r="T85" s="121"/>
      <c r="U85" s="121"/>
    </row>
    <row r="86" spans="1:21" x14ac:dyDescent="0.25">
      <c r="A86" s="121"/>
      <c r="B86" s="121"/>
      <c r="C86" s="121"/>
      <c r="D86" s="121"/>
      <c r="E86" s="121"/>
      <c r="F86" s="121"/>
      <c r="G86" s="121"/>
      <c r="H86" s="121"/>
      <c r="I86" s="121"/>
      <c r="J86" s="121"/>
      <c r="K86" s="121"/>
      <c r="L86" s="121"/>
      <c r="M86" s="121"/>
      <c r="N86" s="121"/>
      <c r="O86" s="121"/>
      <c r="P86" s="121"/>
      <c r="Q86" s="121"/>
      <c r="R86" s="121"/>
      <c r="S86" s="121"/>
      <c r="T86" s="121"/>
      <c r="U86" s="121"/>
    </row>
    <row r="87" spans="1:21" x14ac:dyDescent="0.25">
      <c r="A87" s="121"/>
      <c r="B87" s="121"/>
      <c r="C87" s="121"/>
      <c r="D87" s="121"/>
      <c r="E87" s="121"/>
      <c r="F87" s="121"/>
      <c r="G87" s="121"/>
      <c r="H87" s="121"/>
      <c r="I87" s="121"/>
      <c r="J87" s="121"/>
      <c r="K87" s="121"/>
      <c r="L87" s="121"/>
      <c r="M87" s="121"/>
      <c r="N87" s="121"/>
      <c r="O87" s="121"/>
      <c r="P87" s="121"/>
      <c r="Q87" s="121"/>
      <c r="R87" s="121"/>
      <c r="S87" s="121"/>
      <c r="T87" s="121"/>
      <c r="U87" s="121"/>
    </row>
    <row r="88" spans="1:21" x14ac:dyDescent="0.25">
      <c r="A88" s="121"/>
      <c r="B88" s="121"/>
      <c r="C88" s="121"/>
      <c r="D88" s="121"/>
      <c r="E88" s="121"/>
      <c r="F88" s="121"/>
      <c r="G88" s="121"/>
      <c r="H88" s="121"/>
      <c r="I88" s="121"/>
      <c r="J88" s="121"/>
      <c r="K88" s="121"/>
      <c r="L88" s="121"/>
      <c r="M88" s="121"/>
      <c r="N88" s="121"/>
      <c r="O88" s="121"/>
      <c r="P88" s="121"/>
      <c r="Q88" s="121"/>
      <c r="R88" s="121"/>
      <c r="S88" s="121"/>
      <c r="T88" s="121"/>
      <c r="U88" s="121"/>
    </row>
    <row r="89" spans="1:21" x14ac:dyDescent="0.25">
      <c r="A89" s="121"/>
      <c r="B89" s="121"/>
      <c r="C89" s="121"/>
      <c r="D89" s="121"/>
      <c r="E89" s="121"/>
      <c r="F89" s="121"/>
      <c r="G89" s="121"/>
      <c r="H89" s="121"/>
      <c r="I89" s="121"/>
      <c r="J89" s="121"/>
      <c r="K89" s="121"/>
      <c r="L89" s="121"/>
      <c r="M89" s="121"/>
      <c r="N89" s="121"/>
      <c r="O89" s="121"/>
      <c r="P89" s="121"/>
      <c r="Q89" s="121"/>
      <c r="R89" s="121"/>
      <c r="S89" s="121"/>
      <c r="T89" s="121"/>
      <c r="U89" s="121"/>
    </row>
    <row r="90" spans="1:21" x14ac:dyDescent="0.25">
      <c r="A90" s="121"/>
      <c r="B90" s="121"/>
      <c r="C90" s="121"/>
      <c r="D90" s="121"/>
      <c r="E90" s="121"/>
      <c r="F90" s="121"/>
      <c r="G90" s="121"/>
      <c r="H90" s="121"/>
      <c r="I90" s="121"/>
      <c r="J90" s="121"/>
      <c r="K90" s="121"/>
      <c r="L90" s="121"/>
      <c r="M90" s="121"/>
      <c r="N90" s="121"/>
      <c r="O90" s="121"/>
      <c r="P90" s="121"/>
      <c r="Q90" s="121"/>
      <c r="R90" s="121"/>
      <c r="S90" s="121"/>
      <c r="T90" s="121"/>
      <c r="U90" s="121"/>
    </row>
    <row r="91" spans="1:21" x14ac:dyDescent="0.25">
      <c r="A91" s="121"/>
      <c r="B91" s="121"/>
      <c r="C91" s="121"/>
      <c r="D91" s="121"/>
      <c r="E91" s="121"/>
      <c r="F91" s="121"/>
      <c r="G91" s="121"/>
      <c r="H91" s="121"/>
      <c r="I91" s="121"/>
      <c r="J91" s="121"/>
      <c r="K91" s="121"/>
      <c r="L91" s="121"/>
      <c r="M91" s="121"/>
      <c r="N91" s="121"/>
      <c r="O91" s="121"/>
      <c r="P91" s="121"/>
      <c r="Q91" s="121"/>
      <c r="R91" s="121"/>
      <c r="S91" s="121"/>
      <c r="T91" s="121"/>
      <c r="U91" s="121"/>
    </row>
    <row r="92" spans="1:21" x14ac:dyDescent="0.25">
      <c r="A92" s="121"/>
      <c r="B92" s="121"/>
      <c r="C92" s="121"/>
      <c r="D92" s="121"/>
      <c r="E92" s="121"/>
      <c r="F92" s="121"/>
      <c r="G92" s="121"/>
      <c r="H92" s="121"/>
      <c r="I92" s="121"/>
      <c r="J92" s="121"/>
      <c r="K92" s="121"/>
      <c r="L92" s="121"/>
      <c r="M92" s="121"/>
      <c r="N92" s="121"/>
      <c r="O92" s="121"/>
      <c r="P92" s="121"/>
      <c r="Q92" s="121"/>
      <c r="R92" s="121"/>
      <c r="S92" s="121"/>
      <c r="T92" s="121"/>
      <c r="U92" s="121"/>
    </row>
    <row r="93" spans="1:21" x14ac:dyDescent="0.25">
      <c r="A93" s="121"/>
      <c r="B93" s="121"/>
      <c r="C93" s="121"/>
      <c r="D93" s="121"/>
      <c r="E93" s="121"/>
      <c r="F93" s="121"/>
      <c r="G93" s="121"/>
      <c r="H93" s="121"/>
      <c r="I93" s="121"/>
      <c r="J93" s="121"/>
      <c r="K93" s="121"/>
      <c r="L93" s="121"/>
      <c r="M93" s="121"/>
      <c r="N93" s="121"/>
      <c r="O93" s="121"/>
      <c r="P93" s="121"/>
      <c r="Q93" s="121"/>
      <c r="R93" s="121"/>
      <c r="S93" s="121"/>
      <c r="T93" s="121"/>
      <c r="U93" s="121"/>
    </row>
    <row r="94" spans="1:21" x14ac:dyDescent="0.25">
      <c r="A94" s="121"/>
      <c r="B94" s="121"/>
      <c r="C94" s="121"/>
      <c r="D94" s="121"/>
      <c r="E94" s="121"/>
      <c r="F94" s="121"/>
      <c r="G94" s="121"/>
      <c r="H94" s="121"/>
      <c r="I94" s="121"/>
      <c r="J94" s="121"/>
      <c r="K94" s="121"/>
      <c r="L94" s="121"/>
      <c r="M94" s="121"/>
      <c r="N94" s="121"/>
      <c r="O94" s="121"/>
      <c r="P94" s="121"/>
      <c r="Q94" s="121"/>
      <c r="R94" s="121"/>
      <c r="S94" s="121"/>
      <c r="T94" s="121"/>
      <c r="U94" s="121"/>
    </row>
    <row r="95" spans="1:21" x14ac:dyDescent="0.25">
      <c r="A95" s="121"/>
      <c r="B95" s="121"/>
      <c r="C95" s="121"/>
      <c r="D95" s="121"/>
      <c r="E95" s="121"/>
      <c r="F95" s="121"/>
      <c r="G95" s="121"/>
      <c r="H95" s="121"/>
      <c r="I95" s="121"/>
      <c r="J95" s="121"/>
      <c r="K95" s="121"/>
      <c r="L95" s="121"/>
      <c r="M95" s="121"/>
      <c r="N95" s="121"/>
      <c r="O95" s="121"/>
      <c r="P95" s="121"/>
      <c r="Q95" s="121"/>
      <c r="R95" s="121"/>
      <c r="S95" s="121"/>
      <c r="T95" s="121"/>
      <c r="U95" s="121"/>
    </row>
    <row r="96" spans="1:21" x14ac:dyDescent="0.25">
      <c r="A96" s="121"/>
      <c r="B96" s="121"/>
      <c r="C96" s="121"/>
      <c r="D96" s="121"/>
      <c r="E96" s="121"/>
      <c r="F96" s="121"/>
      <c r="G96" s="121"/>
      <c r="H96" s="121"/>
      <c r="I96" s="121"/>
      <c r="J96" s="121"/>
      <c r="K96" s="121"/>
      <c r="L96" s="121"/>
      <c r="M96" s="121"/>
      <c r="N96" s="121"/>
      <c r="O96" s="121"/>
      <c r="P96" s="121"/>
      <c r="Q96" s="121"/>
      <c r="R96" s="121"/>
      <c r="S96" s="121"/>
      <c r="T96" s="121"/>
      <c r="U96" s="121"/>
    </row>
    <row r="97" spans="1:21" x14ac:dyDescent="0.25">
      <c r="A97" s="121"/>
      <c r="B97" s="121"/>
      <c r="C97" s="121"/>
      <c r="D97" s="121"/>
      <c r="E97" s="121"/>
      <c r="F97" s="121"/>
      <c r="G97" s="121"/>
      <c r="H97" s="121"/>
      <c r="I97" s="121"/>
      <c r="J97" s="121"/>
      <c r="K97" s="121"/>
      <c r="L97" s="121"/>
      <c r="M97" s="121"/>
      <c r="N97" s="121"/>
      <c r="O97" s="121"/>
      <c r="P97" s="121"/>
      <c r="Q97" s="121"/>
      <c r="R97" s="121"/>
      <c r="S97" s="121"/>
      <c r="T97" s="121"/>
      <c r="U97" s="121"/>
    </row>
    <row r="98" spans="1:21" x14ac:dyDescent="0.25">
      <c r="A98" s="121"/>
      <c r="B98" s="121"/>
      <c r="C98" s="121"/>
      <c r="D98" s="121"/>
      <c r="E98" s="121"/>
      <c r="F98" s="121"/>
      <c r="G98" s="121"/>
      <c r="H98" s="121"/>
      <c r="I98" s="121"/>
      <c r="J98" s="121"/>
      <c r="K98" s="121"/>
      <c r="L98" s="121"/>
      <c r="M98" s="121"/>
      <c r="N98" s="121"/>
      <c r="O98" s="121"/>
      <c r="P98" s="121"/>
      <c r="Q98" s="121"/>
      <c r="R98" s="121"/>
      <c r="S98" s="121"/>
      <c r="T98" s="121"/>
      <c r="U98" s="121"/>
    </row>
    <row r="99" spans="1:21" x14ac:dyDescent="0.25">
      <c r="A99" s="121"/>
      <c r="B99" s="121"/>
      <c r="C99" s="121"/>
      <c r="D99" s="121"/>
      <c r="E99" s="121"/>
      <c r="F99" s="121"/>
      <c r="G99" s="121"/>
      <c r="H99" s="121"/>
      <c r="I99" s="121"/>
      <c r="J99" s="121"/>
      <c r="K99" s="121"/>
      <c r="L99" s="121"/>
      <c r="M99" s="121"/>
      <c r="N99" s="121"/>
      <c r="O99" s="121"/>
      <c r="P99" s="121"/>
      <c r="Q99" s="121"/>
      <c r="R99" s="121"/>
      <c r="S99" s="121"/>
      <c r="T99" s="121"/>
      <c r="U99" s="121"/>
    </row>
    <row r="100" spans="1:21"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row>
    <row r="101" spans="1:21"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row>
    <row r="102" spans="1:21"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row>
    <row r="103" spans="1:21"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row>
    <row r="104" spans="1:21"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row>
    <row r="105" spans="1:21"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row>
    <row r="106" spans="1:21"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row>
    <row r="107" spans="1:21"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row>
    <row r="108" spans="1:21"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row>
    <row r="109" spans="1:21"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row>
    <row r="110" spans="1:21"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row>
    <row r="111" spans="1:21"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row>
    <row r="112" spans="1:21"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row>
    <row r="113" spans="1:21"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row>
    <row r="114" spans="1:21"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row>
    <row r="115" spans="1:21"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row>
    <row r="116" spans="1:21"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row>
    <row r="117" spans="1:21"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row>
    <row r="118" spans="1:21"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row>
    <row r="119" spans="1:21"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row>
    <row r="120" spans="1:21"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row>
    <row r="121" spans="1:21"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row>
    <row r="122" spans="1:21"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row>
    <row r="123" spans="1:21"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row>
    <row r="124" spans="1:21"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row>
    <row r="125" spans="1:21"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row>
    <row r="126" spans="1:21"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row>
    <row r="127" spans="1:21"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row>
    <row r="128" spans="1:21"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row>
    <row r="129" spans="1:21"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row>
    <row r="130" spans="1:21"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row>
    <row r="131" spans="1:21"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row>
    <row r="132" spans="1:21"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row>
    <row r="133" spans="1:21"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row>
    <row r="134" spans="1:21"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row>
    <row r="135" spans="1:21"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row>
    <row r="136" spans="1:21"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row>
    <row r="137" spans="1:21"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row>
    <row r="138" spans="1:21"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row>
    <row r="139" spans="1:21"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row>
    <row r="140" spans="1:21"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row>
    <row r="141" spans="1:21"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row>
    <row r="142" spans="1:21"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row>
    <row r="143" spans="1:21"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row>
    <row r="144" spans="1:21"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row>
    <row r="145" spans="1:21"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row>
    <row r="146" spans="1:21"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row>
    <row r="147" spans="1:21"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row>
    <row r="148" spans="1:21"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row>
    <row r="149" spans="1:21"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row>
    <row r="150" spans="1:21"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row>
    <row r="151" spans="1:21"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row>
    <row r="152" spans="1:21"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row>
    <row r="153" spans="1:21"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row>
    <row r="154" spans="1:21"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row>
    <row r="155" spans="1:21"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row>
    <row r="156" spans="1:21"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row>
    <row r="157" spans="1:21"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row>
    <row r="158" spans="1:21"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row>
    <row r="159" spans="1:21"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row>
    <row r="160" spans="1:21"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row>
    <row r="161" spans="1:21"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row>
    <row r="162" spans="1:21"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row>
    <row r="163" spans="1:21"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row>
    <row r="164" spans="1:21"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row>
    <row r="165" spans="1:21"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row>
    <row r="166" spans="1:21"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row>
    <row r="167" spans="1:21"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row>
    <row r="168" spans="1:21"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row>
    <row r="169" spans="1:21"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row>
    <row r="170" spans="1:21"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row>
    <row r="171" spans="1:21"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row>
    <row r="172" spans="1:21"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row>
    <row r="173" spans="1:21"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row>
    <row r="174" spans="1:21"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row>
    <row r="175" spans="1:21"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row>
    <row r="176" spans="1:21"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row>
    <row r="177" spans="1:21"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row>
    <row r="178" spans="1:21"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row>
    <row r="179" spans="1:21"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row>
    <row r="180" spans="1:21"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row>
    <row r="181" spans="1:21"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row>
    <row r="182" spans="1:21"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row>
    <row r="183" spans="1:21"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row>
    <row r="184" spans="1:21"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row>
    <row r="185" spans="1:21"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row>
    <row r="186" spans="1:21"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row>
    <row r="187" spans="1:21"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row>
    <row r="188" spans="1:21"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row>
    <row r="189" spans="1:21"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row>
    <row r="190" spans="1:21"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row>
    <row r="191" spans="1:21"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row>
    <row r="192" spans="1:21"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row>
    <row r="193" spans="1:21"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row>
    <row r="194" spans="1:21"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row>
    <row r="195" spans="1:21"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row>
    <row r="196" spans="1:21"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row>
    <row r="197" spans="1:21"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row>
    <row r="198" spans="1:21"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row>
    <row r="199" spans="1:21"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row>
    <row r="200" spans="1:21"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row>
    <row r="201" spans="1:21"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row>
    <row r="202" spans="1:21"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row>
    <row r="203" spans="1:21"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row>
    <row r="204" spans="1:21"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row>
    <row r="205" spans="1:21"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row>
    <row r="206" spans="1:21"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row>
    <row r="207" spans="1:21"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row>
    <row r="208" spans="1:21"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row>
    <row r="209" spans="1:21"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row>
    <row r="210" spans="1:21"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row>
    <row r="211" spans="1:21"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row>
    <row r="212" spans="1:21"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row>
    <row r="213" spans="1:21"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row>
    <row r="214" spans="1:21"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row>
    <row r="215" spans="1:21"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row>
    <row r="216" spans="1:21"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row>
    <row r="217" spans="1:21"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row>
    <row r="218" spans="1:21"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row>
    <row r="219" spans="1:21"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row>
    <row r="220" spans="1:21"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row>
    <row r="221" spans="1:21"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row>
    <row r="222" spans="1:21"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row>
    <row r="223" spans="1:21"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row>
    <row r="224" spans="1:21"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row>
    <row r="225" spans="1:21"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row>
    <row r="226" spans="1:21"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row>
    <row r="227" spans="1:21"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row>
    <row r="228" spans="1:21"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row>
    <row r="229" spans="1:21"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row>
    <row r="230" spans="1:21"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row>
    <row r="231" spans="1:21"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row>
    <row r="232" spans="1:21"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row>
    <row r="233" spans="1:21"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row>
    <row r="234" spans="1:21"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row>
    <row r="235" spans="1:21"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row>
    <row r="236" spans="1:21"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row>
    <row r="237" spans="1:21"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row>
    <row r="238" spans="1:21"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row>
    <row r="239" spans="1:21"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row>
    <row r="240" spans="1:21"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row>
    <row r="241" spans="1:21"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row>
    <row r="242" spans="1:21"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row>
    <row r="243" spans="1:21"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row>
    <row r="244" spans="1:21"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row>
    <row r="245" spans="1:21"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row>
    <row r="246" spans="1:21"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row>
    <row r="247" spans="1:21"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row>
    <row r="248" spans="1:21"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row>
    <row r="249" spans="1:21"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row>
    <row r="250" spans="1:21"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row>
    <row r="251" spans="1:21"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row>
    <row r="252" spans="1:21"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row>
    <row r="253" spans="1:21"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row>
    <row r="254" spans="1:21"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row>
    <row r="255" spans="1:21"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row>
    <row r="256" spans="1:21"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row>
    <row r="257" spans="1:21"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row>
    <row r="258" spans="1:21"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row>
    <row r="259" spans="1:21"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row>
    <row r="260" spans="1:21"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row>
    <row r="261" spans="1:21"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row>
    <row r="262" spans="1:21"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row>
    <row r="263" spans="1:21"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row>
    <row r="264" spans="1:21"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row>
    <row r="265" spans="1:21"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row>
    <row r="266" spans="1:21"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row>
    <row r="267" spans="1:21"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row>
    <row r="268" spans="1:21"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row>
    <row r="269" spans="1:21"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row>
    <row r="270" spans="1:21"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row>
    <row r="271" spans="1:21"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row>
    <row r="272" spans="1:21"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row>
    <row r="273" spans="1:21"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row>
    <row r="274" spans="1:21"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row>
    <row r="275" spans="1:21"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row>
    <row r="276" spans="1:21"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row>
    <row r="277" spans="1:21"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row>
    <row r="278" spans="1:21"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row>
    <row r="279" spans="1:21"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row>
    <row r="280" spans="1:21"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row>
    <row r="281" spans="1:21"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row>
    <row r="282" spans="1:21"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row>
    <row r="283" spans="1:21"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row>
    <row r="284" spans="1:21"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row>
    <row r="285" spans="1:21"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row>
    <row r="286" spans="1:21"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row>
    <row r="287" spans="1:21"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row>
    <row r="288" spans="1:21"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row>
    <row r="289" spans="1:21"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row>
    <row r="290" spans="1:21"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row>
    <row r="291" spans="1:21"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row>
    <row r="292" spans="1:21"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row>
    <row r="293" spans="1:21"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row>
    <row r="294" spans="1:21"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row>
    <row r="295" spans="1:21"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row>
    <row r="296" spans="1:21"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row>
    <row r="297" spans="1:21"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row>
    <row r="298" spans="1:21"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row>
    <row r="299" spans="1:21"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row>
    <row r="300" spans="1:21"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row>
    <row r="301" spans="1:21"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row>
    <row r="302" spans="1:21"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row>
    <row r="303" spans="1:21"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row>
    <row r="304" spans="1:21"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row>
    <row r="305" spans="1:21"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row>
    <row r="306" spans="1:21"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row>
    <row r="307" spans="1:21"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row>
    <row r="308" spans="1:21"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row>
    <row r="309" spans="1:21"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row>
    <row r="310" spans="1:21"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row>
    <row r="311" spans="1:21"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row>
    <row r="312" spans="1:21"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row>
    <row r="313" spans="1:21"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row>
    <row r="314" spans="1:21"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row>
    <row r="315" spans="1:21"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row>
    <row r="316" spans="1:21"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row>
    <row r="317" spans="1:21"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row>
    <row r="318" spans="1:21"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row>
    <row r="319" spans="1:21"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row>
    <row r="320" spans="1:21"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row>
    <row r="321" spans="1:21"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row>
    <row r="322" spans="1:21"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row>
    <row r="323" spans="1:21"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row>
    <row r="324" spans="1:21"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row>
    <row r="325" spans="1:21"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row>
    <row r="326" spans="1:21"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row>
    <row r="327" spans="1:21"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row>
    <row r="328" spans="1:21"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row>
    <row r="329" spans="1:21"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row>
    <row r="330" spans="1:21"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row>
    <row r="331" spans="1:21"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row>
    <row r="332" spans="1:21"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row>
    <row r="333" spans="1:21"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row>
    <row r="334" spans="1:21"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row>
    <row r="335" spans="1:21"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row>
    <row r="336" spans="1:21"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row>
    <row r="337" spans="1:21"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row>
    <row r="338" spans="1:21"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row>
    <row r="339" spans="1:21"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row>
    <row r="340" spans="1:21"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row>
    <row r="341" spans="1:21"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row>
    <row r="342" spans="1:21"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row>
    <row r="343" spans="1:21"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row>
    <row r="344" spans="1:21"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row>
    <row r="345" spans="1:21"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row>
    <row r="346" spans="1:21"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row>
    <row r="347" spans="1:21"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row>
    <row r="348" spans="1:21"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row>
    <row r="349" spans="1:21"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row>
    <row r="350" spans="1:21"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row>
    <row r="351" spans="1:21"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row>
    <row r="352" spans="1:21"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row>
    <row r="353" spans="1:21"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row>
    <row r="354" spans="1:21"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row>
    <row r="355" spans="1:21"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row>
    <row r="356" spans="1:21"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row>
    <row r="357" spans="1:21"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row>
    <row r="358" spans="1:21"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row>
    <row r="359" spans="1:21"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row>
    <row r="360" spans="1:21"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row>
    <row r="361" spans="1:21" x14ac:dyDescent="0.25">
      <c r="A361" s="121"/>
      <c r="B361" s="121"/>
      <c r="C361" s="121"/>
      <c r="D361" s="121"/>
      <c r="E361" s="121"/>
      <c r="F361" s="121"/>
      <c r="G361" s="121"/>
      <c r="H361" s="121"/>
      <c r="I361" s="121"/>
      <c r="J361" s="121"/>
      <c r="K361" s="121"/>
      <c r="L361" s="121"/>
      <c r="M361" s="121"/>
      <c r="N361" s="121"/>
      <c r="O361" s="121"/>
      <c r="P361" s="121"/>
      <c r="Q361" s="121"/>
      <c r="R361" s="121"/>
      <c r="S361" s="121"/>
      <c r="T361" s="121"/>
      <c r="U361" s="121"/>
    </row>
    <row r="362" spans="1:21" x14ac:dyDescent="0.25">
      <c r="A362" s="121"/>
      <c r="B362" s="121"/>
      <c r="C362" s="121"/>
      <c r="D362" s="121"/>
      <c r="E362" s="121"/>
      <c r="F362" s="121"/>
      <c r="G362" s="121"/>
      <c r="H362" s="121"/>
      <c r="I362" s="121"/>
      <c r="J362" s="121"/>
      <c r="K362" s="121"/>
      <c r="L362" s="121"/>
      <c r="M362" s="121"/>
      <c r="N362" s="121"/>
      <c r="O362" s="121"/>
      <c r="P362" s="121"/>
      <c r="Q362" s="121"/>
      <c r="R362" s="121"/>
      <c r="S362" s="121"/>
      <c r="T362" s="121"/>
      <c r="U362" s="121"/>
    </row>
    <row r="363" spans="1:21" x14ac:dyDescent="0.25">
      <c r="A363" s="121"/>
      <c r="B363" s="121"/>
      <c r="C363" s="121"/>
      <c r="D363" s="121"/>
      <c r="E363" s="121"/>
      <c r="F363" s="121"/>
      <c r="G363" s="121"/>
      <c r="H363" s="121"/>
      <c r="I363" s="121"/>
      <c r="J363" s="121"/>
      <c r="K363" s="121"/>
      <c r="L363" s="121"/>
      <c r="M363" s="121"/>
      <c r="N363" s="121"/>
      <c r="O363" s="121"/>
      <c r="P363" s="121"/>
      <c r="Q363" s="121"/>
      <c r="R363" s="121"/>
      <c r="S363" s="121"/>
      <c r="T363" s="121"/>
      <c r="U363" s="121"/>
    </row>
    <row r="364" spans="1:21" x14ac:dyDescent="0.25">
      <c r="A364" s="121"/>
      <c r="B364" s="121"/>
      <c r="C364" s="121"/>
      <c r="D364" s="121"/>
      <c r="E364" s="121"/>
      <c r="F364" s="121"/>
      <c r="G364" s="121"/>
      <c r="H364" s="121"/>
      <c r="I364" s="121"/>
      <c r="J364" s="121"/>
      <c r="K364" s="121"/>
      <c r="L364" s="121"/>
      <c r="M364" s="121"/>
      <c r="N364" s="121"/>
      <c r="O364" s="121"/>
      <c r="P364" s="121"/>
      <c r="Q364" s="121"/>
      <c r="R364" s="121"/>
      <c r="S364" s="121"/>
      <c r="T364" s="121"/>
      <c r="U364" s="121"/>
    </row>
    <row r="365" spans="1:21" x14ac:dyDescent="0.25">
      <c r="A365" s="121"/>
      <c r="B365" s="121"/>
      <c r="C365" s="121"/>
      <c r="D365" s="121"/>
      <c r="E365" s="121"/>
      <c r="F365" s="121"/>
      <c r="G365" s="121"/>
      <c r="H365" s="121"/>
      <c r="I365" s="121"/>
      <c r="J365" s="121"/>
      <c r="K365" s="121"/>
      <c r="L365" s="121"/>
      <c r="M365" s="121"/>
      <c r="N365" s="121"/>
      <c r="O365" s="121"/>
      <c r="P365" s="121"/>
      <c r="Q365" s="121"/>
      <c r="R365" s="121"/>
      <c r="S365" s="121"/>
      <c r="T365" s="121"/>
      <c r="U365" s="121"/>
    </row>
    <row r="366" spans="1:21" x14ac:dyDescent="0.25">
      <c r="A366" s="121"/>
      <c r="B366" s="121"/>
      <c r="C366" s="121"/>
      <c r="D366" s="121"/>
      <c r="E366" s="121"/>
      <c r="F366" s="121"/>
      <c r="G366" s="121"/>
      <c r="H366" s="121"/>
      <c r="I366" s="121"/>
      <c r="J366" s="121"/>
      <c r="K366" s="121"/>
      <c r="L366" s="121"/>
      <c r="M366" s="121"/>
      <c r="N366" s="121"/>
      <c r="O366" s="121"/>
      <c r="P366" s="121"/>
      <c r="Q366" s="121"/>
      <c r="R366" s="121"/>
      <c r="S366" s="121"/>
      <c r="T366" s="121"/>
      <c r="U366" s="121"/>
    </row>
    <row r="367" spans="1:21" x14ac:dyDescent="0.25">
      <c r="A367" s="121"/>
      <c r="B367" s="121"/>
      <c r="C367" s="121"/>
      <c r="D367" s="121"/>
      <c r="E367" s="121"/>
      <c r="F367" s="121"/>
      <c r="G367" s="121"/>
      <c r="H367" s="121"/>
      <c r="I367" s="121"/>
      <c r="J367" s="121"/>
      <c r="K367" s="121"/>
      <c r="L367" s="121"/>
      <c r="M367" s="121"/>
      <c r="N367" s="121"/>
      <c r="O367" s="121"/>
      <c r="P367" s="121"/>
      <c r="Q367" s="121"/>
      <c r="R367" s="121"/>
      <c r="S367" s="121"/>
      <c r="T367" s="121"/>
      <c r="U367" s="121"/>
    </row>
    <row r="368" spans="1:21" x14ac:dyDescent="0.25">
      <c r="A368" s="121"/>
      <c r="B368" s="121"/>
      <c r="C368" s="121"/>
      <c r="D368" s="121"/>
      <c r="E368" s="121"/>
      <c r="F368" s="121"/>
      <c r="G368" s="121"/>
      <c r="H368" s="121"/>
      <c r="I368" s="121"/>
      <c r="J368" s="121"/>
      <c r="K368" s="121"/>
      <c r="L368" s="121"/>
      <c r="M368" s="121"/>
      <c r="N368" s="121"/>
      <c r="O368" s="121"/>
      <c r="P368" s="121"/>
      <c r="Q368" s="121"/>
      <c r="R368" s="121"/>
      <c r="S368" s="121"/>
      <c r="T368" s="121"/>
      <c r="U368" s="121"/>
    </row>
    <row r="369" spans="1:21" x14ac:dyDescent="0.25">
      <c r="A369" s="121"/>
      <c r="B369" s="121"/>
      <c r="C369" s="121"/>
      <c r="D369" s="121"/>
      <c r="E369" s="121"/>
      <c r="F369" s="121"/>
      <c r="G369" s="121"/>
      <c r="H369" s="121"/>
      <c r="I369" s="121"/>
      <c r="J369" s="121"/>
      <c r="K369" s="121"/>
      <c r="L369" s="121"/>
      <c r="M369" s="121"/>
      <c r="N369" s="121"/>
      <c r="O369" s="121"/>
      <c r="P369" s="121"/>
      <c r="Q369" s="121"/>
      <c r="R369" s="121"/>
      <c r="S369" s="121"/>
      <c r="T369" s="121"/>
      <c r="U369" s="121"/>
    </row>
    <row r="370" spans="1:21" x14ac:dyDescent="0.25">
      <c r="A370" s="121"/>
      <c r="B370" s="121"/>
      <c r="C370" s="121"/>
      <c r="D370" s="121"/>
      <c r="E370" s="121"/>
      <c r="F370" s="121"/>
      <c r="G370" s="121"/>
      <c r="H370" s="121"/>
      <c r="I370" s="121"/>
      <c r="J370" s="121"/>
      <c r="K370" s="121"/>
      <c r="L370" s="121"/>
      <c r="M370" s="121"/>
      <c r="N370" s="121"/>
      <c r="O370" s="121"/>
      <c r="P370" s="121"/>
      <c r="Q370" s="121"/>
      <c r="R370" s="121"/>
      <c r="S370" s="121"/>
      <c r="T370" s="121"/>
      <c r="U370" s="121"/>
    </row>
    <row r="371" spans="1:21" x14ac:dyDescent="0.25">
      <c r="A371" s="121"/>
      <c r="B371" s="121"/>
      <c r="C371" s="121"/>
      <c r="D371" s="121"/>
      <c r="E371" s="121"/>
      <c r="F371" s="121"/>
      <c r="G371" s="121"/>
      <c r="H371" s="121"/>
      <c r="I371" s="121"/>
      <c r="J371" s="121"/>
      <c r="K371" s="121"/>
      <c r="L371" s="121"/>
      <c r="M371" s="121"/>
      <c r="N371" s="121"/>
      <c r="O371" s="121"/>
      <c r="P371" s="121"/>
      <c r="Q371" s="121"/>
      <c r="R371" s="121"/>
      <c r="S371" s="121"/>
      <c r="T371" s="121"/>
      <c r="U371" s="121"/>
    </row>
    <row r="372" spans="1:21" x14ac:dyDescent="0.25">
      <c r="A372" s="121"/>
      <c r="B372" s="121"/>
      <c r="C372" s="121"/>
      <c r="D372" s="121"/>
      <c r="E372" s="121"/>
      <c r="F372" s="121"/>
      <c r="G372" s="121"/>
      <c r="H372" s="121"/>
      <c r="I372" s="121"/>
      <c r="J372" s="121"/>
      <c r="K372" s="121"/>
      <c r="L372" s="121"/>
      <c r="M372" s="121"/>
      <c r="N372" s="121"/>
      <c r="O372" s="121"/>
      <c r="P372" s="121"/>
      <c r="Q372" s="121"/>
      <c r="R372" s="121"/>
      <c r="S372" s="121"/>
      <c r="T372" s="121"/>
      <c r="U372" s="121"/>
    </row>
    <row r="373" spans="1:21" x14ac:dyDescent="0.25">
      <c r="A373" s="121"/>
      <c r="B373" s="121"/>
      <c r="C373" s="121"/>
      <c r="D373" s="121"/>
      <c r="E373" s="121"/>
      <c r="F373" s="121"/>
      <c r="G373" s="121"/>
      <c r="H373" s="121"/>
      <c r="I373" s="121"/>
      <c r="J373" s="121"/>
      <c r="K373" s="121"/>
      <c r="L373" s="121"/>
      <c r="M373" s="121"/>
      <c r="N373" s="121"/>
      <c r="O373" s="121"/>
      <c r="P373" s="121"/>
      <c r="Q373" s="121"/>
      <c r="R373" s="121"/>
      <c r="S373" s="121"/>
      <c r="T373" s="121"/>
      <c r="U373" s="121"/>
    </row>
    <row r="374" spans="1:21" x14ac:dyDescent="0.25">
      <c r="A374" s="121"/>
      <c r="B374" s="121"/>
      <c r="C374" s="121"/>
      <c r="D374" s="121"/>
      <c r="E374" s="121"/>
      <c r="F374" s="121"/>
      <c r="G374" s="121"/>
      <c r="H374" s="121"/>
      <c r="I374" s="121"/>
      <c r="J374" s="121"/>
      <c r="K374" s="121"/>
      <c r="L374" s="121"/>
      <c r="M374" s="121"/>
      <c r="N374" s="121"/>
      <c r="O374" s="121"/>
      <c r="P374" s="121"/>
      <c r="Q374" s="121"/>
      <c r="R374" s="121"/>
      <c r="S374" s="121"/>
      <c r="T374" s="121"/>
      <c r="U374" s="121"/>
    </row>
    <row r="375" spans="1:21" x14ac:dyDescent="0.25">
      <c r="A375" s="121"/>
      <c r="B375" s="121"/>
      <c r="C375" s="121"/>
      <c r="D375" s="121"/>
      <c r="E375" s="121"/>
      <c r="F375" s="121"/>
      <c r="G375" s="121"/>
      <c r="H375" s="121"/>
      <c r="I375" s="121"/>
      <c r="J375" s="121"/>
      <c r="K375" s="121"/>
      <c r="L375" s="121"/>
      <c r="M375" s="121"/>
      <c r="N375" s="121"/>
      <c r="O375" s="121"/>
      <c r="P375" s="121"/>
      <c r="Q375" s="121"/>
      <c r="R375" s="121"/>
      <c r="S375" s="121"/>
      <c r="T375" s="121"/>
      <c r="U375" s="121"/>
    </row>
    <row r="376" spans="1:21" x14ac:dyDescent="0.25">
      <c r="A376" s="121"/>
      <c r="B376" s="121"/>
      <c r="C376" s="121"/>
      <c r="D376" s="121"/>
      <c r="E376" s="121"/>
      <c r="F376" s="121"/>
      <c r="G376" s="121"/>
      <c r="H376" s="121"/>
      <c r="I376" s="121"/>
      <c r="J376" s="121"/>
      <c r="K376" s="121"/>
      <c r="L376" s="121"/>
      <c r="M376" s="121"/>
      <c r="N376" s="121"/>
      <c r="O376" s="121"/>
      <c r="P376" s="121"/>
      <c r="Q376" s="121"/>
      <c r="R376" s="121"/>
      <c r="S376" s="121"/>
      <c r="T376" s="121"/>
      <c r="U376" s="121"/>
    </row>
    <row r="377" spans="1:21" x14ac:dyDescent="0.25">
      <c r="A377" s="121"/>
      <c r="B377" s="121"/>
      <c r="C377" s="121"/>
      <c r="D377" s="121"/>
      <c r="E377" s="121"/>
      <c r="F377" s="121"/>
      <c r="G377" s="121"/>
      <c r="H377" s="121"/>
      <c r="I377" s="121"/>
      <c r="J377" s="121"/>
      <c r="K377" s="121"/>
      <c r="L377" s="121"/>
      <c r="M377" s="121"/>
      <c r="N377" s="121"/>
      <c r="O377" s="121"/>
      <c r="P377" s="121"/>
      <c r="Q377" s="121"/>
      <c r="R377" s="121"/>
      <c r="S377" s="121"/>
      <c r="T377" s="121"/>
      <c r="U377" s="121"/>
    </row>
    <row r="378" spans="1:21" x14ac:dyDescent="0.25">
      <c r="A378" s="121"/>
      <c r="B378" s="121"/>
      <c r="C378" s="121"/>
      <c r="D378" s="121"/>
      <c r="E378" s="121"/>
      <c r="F378" s="121"/>
      <c r="G378" s="121"/>
      <c r="H378" s="121"/>
      <c r="I378" s="121"/>
      <c r="J378" s="121"/>
      <c r="K378" s="121"/>
      <c r="L378" s="121"/>
      <c r="M378" s="121"/>
      <c r="N378" s="121"/>
      <c r="O378" s="121"/>
      <c r="P378" s="121"/>
      <c r="Q378" s="121"/>
      <c r="R378" s="121"/>
      <c r="S378" s="121"/>
      <c r="T378" s="121"/>
      <c r="U378" s="121"/>
    </row>
    <row r="379" spans="1:21" x14ac:dyDescent="0.25">
      <c r="A379" s="121"/>
      <c r="B379" s="121"/>
      <c r="C379" s="121"/>
      <c r="D379" s="121"/>
      <c r="E379" s="121"/>
      <c r="F379" s="121"/>
      <c r="G379" s="121"/>
      <c r="H379" s="121"/>
      <c r="I379" s="121"/>
      <c r="J379" s="121"/>
      <c r="K379" s="121"/>
      <c r="L379" s="121"/>
      <c r="M379" s="121"/>
      <c r="N379" s="121"/>
      <c r="O379" s="121"/>
      <c r="P379" s="121"/>
      <c r="Q379" s="121"/>
      <c r="R379" s="121"/>
      <c r="S379" s="121"/>
      <c r="T379" s="121"/>
      <c r="U379" s="121"/>
    </row>
    <row r="380" spans="1:21" x14ac:dyDescent="0.25">
      <c r="A380" s="121"/>
      <c r="B380" s="121"/>
      <c r="C380" s="121"/>
      <c r="D380" s="121"/>
      <c r="E380" s="121"/>
      <c r="F380" s="121"/>
      <c r="G380" s="121"/>
      <c r="H380" s="121"/>
      <c r="I380" s="121"/>
      <c r="J380" s="121"/>
      <c r="K380" s="121"/>
      <c r="L380" s="121"/>
      <c r="M380" s="121"/>
      <c r="N380" s="121"/>
      <c r="O380" s="121"/>
      <c r="P380" s="121"/>
      <c r="Q380" s="121"/>
      <c r="R380" s="121"/>
      <c r="S380" s="121"/>
      <c r="T380" s="121"/>
      <c r="U380" s="121"/>
    </row>
    <row r="381" spans="1:21" x14ac:dyDescent="0.25">
      <c r="A381" s="121"/>
      <c r="B381" s="121"/>
      <c r="C381" s="121"/>
      <c r="D381" s="121"/>
      <c r="E381" s="121"/>
      <c r="F381" s="121"/>
      <c r="G381" s="121"/>
      <c r="H381" s="121"/>
      <c r="I381" s="121"/>
      <c r="J381" s="121"/>
      <c r="K381" s="121"/>
      <c r="L381" s="121"/>
      <c r="M381" s="121"/>
      <c r="N381" s="121"/>
      <c r="O381" s="121"/>
      <c r="P381" s="121"/>
      <c r="Q381" s="121"/>
      <c r="R381" s="121"/>
      <c r="S381" s="121"/>
      <c r="T381" s="121"/>
      <c r="U381" s="121"/>
    </row>
    <row r="382" spans="1:21" x14ac:dyDescent="0.25">
      <c r="A382" s="121"/>
      <c r="B382" s="121"/>
      <c r="C382" s="121"/>
      <c r="D382" s="121"/>
      <c r="E382" s="121"/>
      <c r="F382" s="121"/>
      <c r="G382" s="121"/>
      <c r="H382" s="121"/>
      <c r="I382" s="121"/>
      <c r="J382" s="121"/>
      <c r="K382" s="121"/>
      <c r="L382" s="121"/>
      <c r="M382" s="121"/>
      <c r="N382" s="121"/>
      <c r="O382" s="121"/>
      <c r="P382" s="121"/>
      <c r="Q382" s="121"/>
      <c r="R382" s="121"/>
      <c r="S382" s="121"/>
      <c r="T382" s="121"/>
      <c r="U382" s="1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4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39" customWidth="1"/>
    <col min="2" max="2" width="30.140625" style="39" customWidth="1"/>
    <col min="3" max="3" width="12.28515625" style="39" customWidth="1"/>
    <col min="4" max="5" width="15" style="39" customWidth="1"/>
    <col min="6" max="7" width="13.28515625" style="39" customWidth="1"/>
    <col min="8" max="8" width="19.5703125" style="39" customWidth="1"/>
    <col min="9" max="9" width="19.42578125" style="39" customWidth="1"/>
    <col min="10" max="10" width="25.85546875" style="39" customWidth="1"/>
    <col min="11" max="11" width="24.5703125" style="39" customWidth="1"/>
    <col min="12" max="12" width="30.85546875" style="39" customWidth="1"/>
    <col min="13" max="13" width="27.140625" style="39" customWidth="1"/>
    <col min="14" max="14" width="32.42578125" style="39" customWidth="1"/>
    <col min="15" max="15" width="13.28515625" style="39" hidden="1" customWidth="1"/>
    <col min="16" max="16" width="8.7109375" style="39" hidden="1" customWidth="1"/>
    <col min="17" max="17" width="12.7109375" style="39" hidden="1" customWidth="1"/>
    <col min="18" max="18" width="0" style="39" hidden="1" customWidth="1"/>
    <col min="19" max="19" width="17" style="39" hidden="1" customWidth="1"/>
    <col min="20" max="21" width="12" style="39" hidden="1" customWidth="1"/>
    <col min="22" max="22" width="11" style="39" hidden="1" customWidth="1"/>
    <col min="23" max="25" width="17.7109375" style="39" hidden="1" customWidth="1"/>
    <col min="26" max="26" width="46.5703125" style="39" hidden="1" customWidth="1"/>
    <col min="27" max="28" width="12.28515625" style="39" customWidth="1"/>
    <col min="29" max="16384" width="9.140625" style="39"/>
  </cols>
  <sheetData>
    <row r="1" spans="1:28" ht="18.75" x14ac:dyDescent="0.25">
      <c r="Z1" s="16" t="s">
        <v>22</v>
      </c>
    </row>
    <row r="2" spans="1:28" ht="18.75" x14ac:dyDescent="0.3">
      <c r="Z2" s="14" t="s">
        <v>6</v>
      </c>
    </row>
    <row r="3" spans="1:28" ht="18.75" x14ac:dyDescent="0.3">
      <c r="Z3" s="14" t="s">
        <v>21</v>
      </c>
    </row>
    <row r="4" spans="1:28" s="77" customFormat="1" ht="15.75" x14ac:dyDescent="0.25">
      <c r="D4" s="12"/>
      <c r="E4" s="12"/>
      <c r="F4" s="12"/>
      <c r="G4" s="236" t="str">
        <f>'1. паспорт местоположение'!$A$5</f>
        <v>Год раскрытия информации: 2025 год</v>
      </c>
      <c r="H4" s="236"/>
      <c r="I4" s="236"/>
      <c r="J4" s="236"/>
    </row>
    <row r="5" spans="1:28" s="77" customFormat="1" ht="15.75" x14ac:dyDescent="0.2">
      <c r="G5" s="275"/>
      <c r="H5" s="275"/>
      <c r="I5" s="275"/>
      <c r="J5" s="275"/>
    </row>
    <row r="6" spans="1:28" s="77" customFormat="1" ht="18.75" x14ac:dyDescent="0.2">
      <c r="D6" s="17"/>
      <c r="E6" s="17"/>
      <c r="F6" s="17"/>
      <c r="G6" s="240" t="s">
        <v>5</v>
      </c>
      <c r="H6" s="240"/>
      <c r="I6" s="240"/>
      <c r="J6" s="240"/>
      <c r="K6" s="17"/>
      <c r="L6" s="17"/>
      <c r="M6" s="17"/>
      <c r="N6" s="17"/>
      <c r="O6" s="17"/>
      <c r="P6" s="17"/>
      <c r="Q6" s="17"/>
      <c r="R6" s="17"/>
      <c r="S6" s="17"/>
      <c r="T6" s="17"/>
      <c r="U6" s="17"/>
      <c r="V6" s="17"/>
    </row>
    <row r="7" spans="1:28" s="77" customFormat="1" ht="18.75" x14ac:dyDescent="0.2">
      <c r="D7" s="82"/>
      <c r="E7" s="82"/>
      <c r="F7" s="82"/>
      <c r="G7" s="240"/>
      <c r="H7" s="240"/>
      <c r="I7" s="240"/>
      <c r="J7" s="240"/>
      <c r="K7" s="17"/>
      <c r="L7" s="17"/>
      <c r="M7" s="17"/>
      <c r="N7" s="17"/>
      <c r="O7" s="17"/>
      <c r="P7" s="17"/>
      <c r="Q7" s="17"/>
      <c r="R7" s="17"/>
      <c r="S7" s="17"/>
      <c r="T7" s="17"/>
      <c r="U7" s="17"/>
      <c r="V7" s="17"/>
    </row>
    <row r="8" spans="1:28" s="77" customFormat="1" ht="18.75" x14ac:dyDescent="0.2">
      <c r="D8" s="18"/>
      <c r="E8" s="18"/>
      <c r="F8" s="18"/>
      <c r="G8" s="241" t="s">
        <v>264</v>
      </c>
      <c r="H8" s="241"/>
      <c r="I8" s="241"/>
      <c r="J8" s="241"/>
      <c r="K8" s="17"/>
      <c r="L8" s="17"/>
      <c r="M8" s="17"/>
      <c r="N8" s="17"/>
      <c r="O8" s="17"/>
      <c r="P8" s="17"/>
      <c r="Q8" s="17"/>
      <c r="R8" s="17"/>
      <c r="S8" s="17"/>
      <c r="T8" s="17"/>
      <c r="U8" s="17"/>
      <c r="V8" s="17"/>
    </row>
    <row r="9" spans="1:28" s="77" customFormat="1" ht="18.75" x14ac:dyDescent="0.2">
      <c r="D9" s="15"/>
      <c r="E9" s="15"/>
      <c r="F9" s="15"/>
      <c r="G9" s="246" t="s">
        <v>4</v>
      </c>
      <c r="H9" s="246"/>
      <c r="I9" s="246"/>
      <c r="J9" s="246"/>
      <c r="K9" s="17"/>
      <c r="L9" s="17"/>
      <c r="M9" s="17"/>
      <c r="N9" s="17"/>
      <c r="O9" s="17"/>
      <c r="P9" s="17"/>
      <c r="Q9" s="17"/>
      <c r="R9" s="17"/>
      <c r="S9" s="17"/>
      <c r="T9" s="17"/>
      <c r="U9" s="17"/>
      <c r="V9" s="17"/>
    </row>
    <row r="10" spans="1:28" s="77" customFormat="1" ht="18.75" x14ac:dyDescent="0.2">
      <c r="D10" s="82"/>
      <c r="E10" s="82"/>
      <c r="F10" s="82"/>
      <c r="G10" s="240"/>
      <c r="H10" s="240"/>
      <c r="I10" s="240"/>
      <c r="J10" s="240"/>
      <c r="K10" s="17"/>
      <c r="L10" s="17"/>
      <c r="M10" s="17"/>
      <c r="N10" s="17"/>
      <c r="O10" s="17"/>
      <c r="P10" s="17"/>
      <c r="Q10" s="17"/>
      <c r="R10" s="17"/>
      <c r="S10" s="17"/>
      <c r="T10" s="17"/>
      <c r="U10" s="17"/>
      <c r="V10" s="17"/>
    </row>
    <row r="11" spans="1:28" s="77" customFormat="1" ht="18.75" x14ac:dyDescent="0.2">
      <c r="D11" s="18"/>
      <c r="E11" s="18"/>
      <c r="F11" s="18"/>
      <c r="G11" s="241" t="str">
        <f>'1. паспорт местоположение'!$A$12</f>
        <v>L_Che370</v>
      </c>
      <c r="H11" s="241"/>
      <c r="I11" s="241"/>
      <c r="J11" s="241"/>
      <c r="K11" s="17"/>
      <c r="L11" s="17"/>
      <c r="M11" s="17"/>
      <c r="N11" s="17"/>
      <c r="O11" s="17"/>
      <c r="P11" s="17"/>
      <c r="Q11" s="17"/>
      <c r="R11" s="17"/>
      <c r="S11" s="17"/>
      <c r="T11" s="17"/>
      <c r="U11" s="17"/>
      <c r="V11" s="17"/>
    </row>
    <row r="12" spans="1:28" s="77" customFormat="1" ht="18.75" x14ac:dyDescent="0.2">
      <c r="D12" s="15"/>
      <c r="E12" s="15"/>
      <c r="F12" s="15"/>
      <c r="G12" s="246" t="s">
        <v>3</v>
      </c>
      <c r="H12" s="246"/>
      <c r="I12" s="246"/>
      <c r="J12" s="246"/>
      <c r="K12" s="17"/>
      <c r="L12" s="17"/>
      <c r="M12" s="17"/>
      <c r="N12" s="17"/>
      <c r="O12" s="17"/>
      <c r="P12" s="17"/>
      <c r="Q12" s="17"/>
      <c r="R12" s="17"/>
      <c r="S12" s="17"/>
      <c r="T12" s="17"/>
      <c r="U12" s="17"/>
      <c r="V12" s="17"/>
    </row>
    <row r="13" spans="1:28" s="80" customFormat="1" ht="15.75" customHeight="1" x14ac:dyDescent="0.2">
      <c r="D13" s="1"/>
      <c r="E13" s="1"/>
      <c r="F13" s="1"/>
      <c r="G13" s="274"/>
      <c r="H13" s="274"/>
      <c r="I13" s="274"/>
      <c r="J13" s="274"/>
      <c r="K13" s="1"/>
      <c r="L13" s="1"/>
      <c r="M13" s="1"/>
      <c r="N13" s="1"/>
      <c r="O13" s="1"/>
      <c r="P13" s="1"/>
      <c r="Q13" s="1"/>
      <c r="R13" s="1"/>
      <c r="S13" s="1"/>
      <c r="T13" s="1"/>
      <c r="U13" s="1"/>
      <c r="V13" s="1"/>
    </row>
    <row r="14" spans="1:28" s="25" customFormat="1" ht="112.5" customHeight="1" x14ac:dyDescent="0.2">
      <c r="D14" s="18"/>
      <c r="E14" s="247" t="str">
        <f>'1. паспорт местоположение'!$A$15</f>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
      <c r="F14" s="247"/>
      <c r="G14" s="247"/>
      <c r="H14" s="247"/>
      <c r="I14" s="247"/>
      <c r="J14" s="247"/>
      <c r="K14" s="247"/>
      <c r="L14" s="18"/>
      <c r="M14" s="18"/>
      <c r="N14" s="18"/>
      <c r="O14" s="18"/>
      <c r="P14" s="18"/>
      <c r="Q14" s="18"/>
      <c r="R14" s="18"/>
      <c r="S14" s="18"/>
      <c r="T14" s="18"/>
      <c r="U14" s="18"/>
      <c r="V14" s="18"/>
    </row>
    <row r="15" spans="1:28" s="25" customFormat="1" ht="15" customHeight="1" x14ac:dyDescent="0.2">
      <c r="D15" s="15"/>
      <c r="E15" s="15"/>
      <c r="F15" s="15"/>
      <c r="G15" s="246" t="s">
        <v>2</v>
      </c>
      <c r="H15" s="246"/>
      <c r="I15" s="246"/>
      <c r="J15" s="246"/>
      <c r="K15" s="15"/>
      <c r="L15" s="15"/>
      <c r="M15" s="15"/>
      <c r="N15" s="15"/>
      <c r="O15" s="15"/>
      <c r="P15" s="15"/>
      <c r="Q15" s="15"/>
      <c r="R15" s="15"/>
      <c r="S15" s="15"/>
      <c r="T15" s="15"/>
      <c r="U15" s="15"/>
      <c r="V15" s="15"/>
    </row>
    <row r="16" spans="1:28"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38"/>
      <c r="AB16" s="38"/>
    </row>
    <row r="17" spans="1:28"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38"/>
      <c r="AB17" s="38"/>
    </row>
    <row r="18" spans="1:28"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38"/>
      <c r="AB18" s="38"/>
    </row>
    <row r="19" spans="1:28"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38"/>
      <c r="AB19" s="38"/>
    </row>
    <row r="20" spans="1:28" x14ac:dyDescent="0.25">
      <c r="A20" s="277" t="s">
        <v>317</v>
      </c>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40"/>
      <c r="AB20" s="40"/>
    </row>
    <row r="21" spans="1:28" ht="32.25" customHeight="1" x14ac:dyDescent="0.25">
      <c r="A21" s="278" t="s">
        <v>318</v>
      </c>
      <c r="B21" s="279"/>
      <c r="C21" s="279"/>
      <c r="D21" s="279"/>
      <c r="E21" s="279"/>
      <c r="F21" s="279"/>
      <c r="G21" s="279"/>
      <c r="H21" s="279"/>
      <c r="I21" s="279"/>
      <c r="J21" s="279"/>
      <c r="K21" s="279"/>
      <c r="L21" s="280"/>
      <c r="M21" s="281" t="s">
        <v>319</v>
      </c>
      <c r="N21" s="281"/>
      <c r="O21" s="281"/>
      <c r="P21" s="281"/>
      <c r="Q21" s="281"/>
      <c r="R21" s="281"/>
      <c r="S21" s="281"/>
      <c r="T21" s="281"/>
      <c r="U21" s="281"/>
      <c r="V21" s="281"/>
      <c r="W21" s="281"/>
      <c r="X21" s="281"/>
      <c r="Y21" s="281"/>
      <c r="Z21" s="281"/>
    </row>
    <row r="22" spans="1:28" ht="151.5" customHeight="1" x14ac:dyDescent="0.25">
      <c r="A22" s="123" t="s">
        <v>320</v>
      </c>
      <c r="B22" s="124" t="s">
        <v>321</v>
      </c>
      <c r="C22" s="123" t="s">
        <v>322</v>
      </c>
      <c r="D22" s="123" t="s">
        <v>323</v>
      </c>
      <c r="E22" s="123" t="s">
        <v>324</v>
      </c>
      <c r="F22" s="123" t="s">
        <v>325</v>
      </c>
      <c r="G22" s="123" t="s">
        <v>326</v>
      </c>
      <c r="H22" s="123" t="s">
        <v>327</v>
      </c>
      <c r="I22" s="123" t="s">
        <v>328</v>
      </c>
      <c r="J22" s="123" t="s">
        <v>329</v>
      </c>
      <c r="K22" s="124" t="s">
        <v>330</v>
      </c>
      <c r="L22" s="124" t="s">
        <v>331</v>
      </c>
      <c r="M22" s="125" t="s">
        <v>332</v>
      </c>
      <c r="N22" s="124" t="s">
        <v>333</v>
      </c>
      <c r="O22" s="123" t="s">
        <v>334</v>
      </c>
      <c r="P22" s="123" t="s">
        <v>335</v>
      </c>
      <c r="Q22" s="123" t="s">
        <v>336</v>
      </c>
      <c r="R22" s="123" t="s">
        <v>327</v>
      </c>
      <c r="S22" s="123" t="s">
        <v>337</v>
      </c>
      <c r="T22" s="123" t="s">
        <v>338</v>
      </c>
      <c r="U22" s="123" t="s">
        <v>339</v>
      </c>
      <c r="V22" s="123" t="s">
        <v>336</v>
      </c>
      <c r="W22" s="126" t="s">
        <v>340</v>
      </c>
      <c r="X22" s="126" t="s">
        <v>341</v>
      </c>
      <c r="Y22" s="126" t="s">
        <v>342</v>
      </c>
      <c r="Z22" s="41" t="s">
        <v>343</v>
      </c>
    </row>
    <row r="23" spans="1:28" ht="16.5" customHeight="1" x14ac:dyDescent="0.25">
      <c r="A23" s="123">
        <v>1</v>
      </c>
      <c r="B23" s="124">
        <v>2</v>
      </c>
      <c r="C23" s="123">
        <v>3</v>
      </c>
      <c r="D23" s="124">
        <v>4</v>
      </c>
      <c r="E23" s="123">
        <v>5</v>
      </c>
      <c r="F23" s="124">
        <v>6</v>
      </c>
      <c r="G23" s="123">
        <v>7</v>
      </c>
      <c r="H23" s="124">
        <v>8</v>
      </c>
      <c r="I23" s="123">
        <v>9</v>
      </c>
      <c r="J23" s="124">
        <v>10</v>
      </c>
      <c r="K23" s="123">
        <v>11</v>
      </c>
      <c r="L23" s="124">
        <v>12</v>
      </c>
      <c r="M23" s="123">
        <v>13</v>
      </c>
      <c r="N23" s="124">
        <v>14</v>
      </c>
      <c r="O23" s="123">
        <v>15</v>
      </c>
      <c r="P23" s="124">
        <v>16</v>
      </c>
      <c r="Q23" s="123">
        <v>17</v>
      </c>
      <c r="R23" s="124">
        <v>18</v>
      </c>
      <c r="S23" s="123">
        <v>19</v>
      </c>
      <c r="T23" s="124">
        <v>20</v>
      </c>
      <c r="U23" s="123">
        <v>21</v>
      </c>
      <c r="V23" s="124">
        <v>22</v>
      </c>
      <c r="W23" s="123">
        <v>23</v>
      </c>
      <c r="X23" s="124">
        <v>24</v>
      </c>
      <c r="Y23" s="123">
        <v>25</v>
      </c>
      <c r="Z23" s="124">
        <v>26</v>
      </c>
    </row>
    <row r="24" spans="1:28" ht="45.75" customHeight="1" x14ac:dyDescent="0.25">
      <c r="A24" s="42" t="s">
        <v>344</v>
      </c>
      <c r="B24" s="42"/>
      <c r="C24" s="43" t="s">
        <v>345</v>
      </c>
      <c r="D24" s="43" t="s">
        <v>346</v>
      </c>
      <c r="E24" s="43" t="s">
        <v>347</v>
      </c>
      <c r="F24" s="43" t="s">
        <v>348</v>
      </c>
      <c r="G24" s="43" t="s">
        <v>349</v>
      </c>
      <c r="H24" s="43" t="s">
        <v>327</v>
      </c>
      <c r="I24" s="43" t="s">
        <v>350</v>
      </c>
      <c r="J24" s="43" t="s">
        <v>351</v>
      </c>
      <c r="K24" s="127"/>
      <c r="L24" s="43" t="s">
        <v>352</v>
      </c>
      <c r="M24" s="44" t="s">
        <v>353</v>
      </c>
      <c r="N24" s="127" t="s">
        <v>294</v>
      </c>
      <c r="O24" s="127" t="s">
        <v>294</v>
      </c>
      <c r="P24" s="127" t="s">
        <v>294</v>
      </c>
      <c r="Q24" s="127" t="s">
        <v>294</v>
      </c>
      <c r="R24" s="127" t="s">
        <v>294</v>
      </c>
      <c r="S24" s="127" t="s">
        <v>294</v>
      </c>
      <c r="T24" s="127" t="s">
        <v>294</v>
      </c>
      <c r="U24" s="127" t="s">
        <v>294</v>
      </c>
      <c r="V24" s="127" t="s">
        <v>294</v>
      </c>
      <c r="W24" s="127" t="s">
        <v>294</v>
      </c>
      <c r="X24" s="127" t="s">
        <v>294</v>
      </c>
      <c r="Y24" s="127" t="s">
        <v>294</v>
      </c>
      <c r="Z24" s="128" t="s">
        <v>354</v>
      </c>
    </row>
    <row r="25" spans="1:28" x14ac:dyDescent="0.25">
      <c r="A25" s="127" t="s">
        <v>355</v>
      </c>
      <c r="B25" s="127" t="s">
        <v>356</v>
      </c>
      <c r="C25" s="127" t="s">
        <v>294</v>
      </c>
      <c r="D25" s="127" t="s">
        <v>294</v>
      </c>
      <c r="E25" s="127" t="s">
        <v>294</v>
      </c>
      <c r="F25" s="127" t="s">
        <v>294</v>
      </c>
      <c r="G25" s="127" t="s">
        <v>294</v>
      </c>
      <c r="H25" s="127" t="s">
        <v>294</v>
      </c>
      <c r="I25" s="127" t="s">
        <v>294</v>
      </c>
      <c r="J25" s="127" t="s">
        <v>294</v>
      </c>
      <c r="K25" s="43" t="s">
        <v>357</v>
      </c>
      <c r="L25" s="127" t="s">
        <v>294</v>
      </c>
      <c r="M25" s="43" t="s">
        <v>358</v>
      </c>
      <c r="N25" s="127" t="s">
        <v>294</v>
      </c>
      <c r="O25" s="127" t="s">
        <v>294</v>
      </c>
      <c r="P25" s="127" t="s">
        <v>294</v>
      </c>
      <c r="Q25" s="127" t="s">
        <v>294</v>
      </c>
      <c r="R25" s="127" t="s">
        <v>294</v>
      </c>
      <c r="S25" s="127" t="s">
        <v>294</v>
      </c>
      <c r="T25" s="127" t="s">
        <v>294</v>
      </c>
      <c r="U25" s="127" t="s">
        <v>294</v>
      </c>
      <c r="V25" s="127" t="s">
        <v>294</v>
      </c>
      <c r="W25" s="127" t="s">
        <v>294</v>
      </c>
      <c r="X25" s="127" t="s">
        <v>294</v>
      </c>
      <c r="Y25" s="127" t="s">
        <v>294</v>
      </c>
      <c r="Z25" s="127" t="s">
        <v>294</v>
      </c>
    </row>
    <row r="26" spans="1:28" x14ac:dyDescent="0.25">
      <c r="A26" s="127" t="s">
        <v>355</v>
      </c>
      <c r="B26" s="127" t="s">
        <v>359</v>
      </c>
      <c r="C26" s="127" t="s">
        <v>294</v>
      </c>
      <c r="D26" s="127" t="s">
        <v>294</v>
      </c>
      <c r="E26" s="127" t="s">
        <v>294</v>
      </c>
      <c r="F26" s="127" t="s">
        <v>294</v>
      </c>
      <c r="G26" s="127" t="s">
        <v>294</v>
      </c>
      <c r="H26" s="127" t="s">
        <v>294</v>
      </c>
      <c r="I26" s="127" t="s">
        <v>294</v>
      </c>
      <c r="J26" s="127" t="s">
        <v>294</v>
      </c>
      <c r="K26" s="43" t="s">
        <v>360</v>
      </c>
      <c r="L26" s="127" t="s">
        <v>294</v>
      </c>
      <c r="M26" s="43" t="s">
        <v>361</v>
      </c>
      <c r="N26" s="127" t="s">
        <v>294</v>
      </c>
      <c r="O26" s="127" t="s">
        <v>294</v>
      </c>
      <c r="P26" s="127" t="s">
        <v>294</v>
      </c>
      <c r="Q26" s="127" t="s">
        <v>294</v>
      </c>
      <c r="R26" s="127" t="s">
        <v>294</v>
      </c>
      <c r="S26" s="127" t="s">
        <v>294</v>
      </c>
      <c r="T26" s="127" t="s">
        <v>294</v>
      </c>
      <c r="U26" s="127" t="s">
        <v>294</v>
      </c>
      <c r="V26" s="127" t="s">
        <v>294</v>
      </c>
      <c r="W26" s="127" t="s">
        <v>294</v>
      </c>
      <c r="X26" s="127" t="s">
        <v>294</v>
      </c>
      <c r="Y26" s="127" t="s">
        <v>294</v>
      </c>
      <c r="Z26" s="127" t="s">
        <v>294</v>
      </c>
    </row>
    <row r="27" spans="1:28" x14ac:dyDescent="0.25">
      <c r="A27" s="127" t="s">
        <v>355</v>
      </c>
      <c r="B27" s="127" t="s">
        <v>362</v>
      </c>
      <c r="C27" s="127" t="s">
        <v>294</v>
      </c>
      <c r="D27" s="127" t="s">
        <v>294</v>
      </c>
      <c r="E27" s="127" t="s">
        <v>294</v>
      </c>
      <c r="F27" s="127" t="s">
        <v>294</v>
      </c>
      <c r="G27" s="127" t="s">
        <v>294</v>
      </c>
      <c r="H27" s="127" t="s">
        <v>294</v>
      </c>
      <c r="I27" s="127" t="s">
        <v>294</v>
      </c>
      <c r="J27" s="127" t="s">
        <v>294</v>
      </c>
      <c r="K27" s="43" t="s">
        <v>363</v>
      </c>
      <c r="L27" s="127" t="s">
        <v>294</v>
      </c>
      <c r="M27" s="127" t="s">
        <v>294</v>
      </c>
      <c r="N27" s="127" t="s">
        <v>294</v>
      </c>
      <c r="O27" s="127" t="s">
        <v>294</v>
      </c>
      <c r="P27" s="127" t="s">
        <v>294</v>
      </c>
      <c r="Q27" s="127" t="s">
        <v>294</v>
      </c>
      <c r="R27" s="127" t="s">
        <v>294</v>
      </c>
      <c r="S27" s="127" t="s">
        <v>294</v>
      </c>
      <c r="T27" s="127" t="s">
        <v>294</v>
      </c>
      <c r="U27" s="127" t="s">
        <v>294</v>
      </c>
      <c r="V27" s="127" t="s">
        <v>294</v>
      </c>
      <c r="W27" s="127" t="s">
        <v>294</v>
      </c>
      <c r="X27" s="127" t="s">
        <v>294</v>
      </c>
      <c r="Y27" s="127" t="s">
        <v>294</v>
      </c>
      <c r="Z27" s="127" t="s">
        <v>294</v>
      </c>
    </row>
    <row r="28" spans="1:28" x14ac:dyDescent="0.25">
      <c r="A28" s="127" t="s">
        <v>355</v>
      </c>
      <c r="B28" s="127" t="s">
        <v>364</v>
      </c>
      <c r="C28" s="127" t="s">
        <v>294</v>
      </c>
      <c r="D28" s="127" t="s">
        <v>294</v>
      </c>
      <c r="E28" s="127" t="s">
        <v>294</v>
      </c>
      <c r="F28" s="127" t="s">
        <v>294</v>
      </c>
      <c r="G28" s="127" t="s">
        <v>294</v>
      </c>
      <c r="H28" s="127" t="s">
        <v>294</v>
      </c>
      <c r="I28" s="127" t="s">
        <v>294</v>
      </c>
      <c r="J28" s="127" t="s">
        <v>294</v>
      </c>
      <c r="K28" s="43" t="s">
        <v>365</v>
      </c>
      <c r="L28" s="127" t="s">
        <v>294</v>
      </c>
      <c r="M28" s="127" t="s">
        <v>294</v>
      </c>
      <c r="N28" s="127" t="s">
        <v>294</v>
      </c>
      <c r="O28" s="127" t="s">
        <v>294</v>
      </c>
      <c r="P28" s="127" t="s">
        <v>294</v>
      </c>
      <c r="Q28" s="127" t="s">
        <v>294</v>
      </c>
      <c r="R28" s="127" t="s">
        <v>294</v>
      </c>
      <c r="S28" s="127" t="s">
        <v>294</v>
      </c>
      <c r="T28" s="127" t="s">
        <v>294</v>
      </c>
      <c r="U28" s="127" t="s">
        <v>294</v>
      </c>
      <c r="V28" s="127" t="s">
        <v>294</v>
      </c>
      <c r="W28" s="127" t="s">
        <v>294</v>
      </c>
      <c r="X28" s="127" t="s">
        <v>294</v>
      </c>
      <c r="Y28" s="127" t="s">
        <v>294</v>
      </c>
      <c r="Z28" s="127" t="s">
        <v>294</v>
      </c>
    </row>
    <row r="29" spans="1:28" x14ac:dyDescent="0.25">
      <c r="A29" s="127" t="s">
        <v>361</v>
      </c>
      <c r="B29" s="127" t="s">
        <v>361</v>
      </c>
      <c r="C29" s="127" t="s">
        <v>361</v>
      </c>
      <c r="D29" s="127" t="s">
        <v>361</v>
      </c>
      <c r="E29" s="127" t="s">
        <v>361</v>
      </c>
      <c r="F29" s="127" t="s">
        <v>361</v>
      </c>
      <c r="G29" s="127" t="s">
        <v>361</v>
      </c>
      <c r="H29" s="127" t="s">
        <v>361</v>
      </c>
      <c r="I29" s="127" t="s">
        <v>361</v>
      </c>
      <c r="J29" s="127" t="s">
        <v>361</v>
      </c>
      <c r="K29" s="127" t="s">
        <v>361</v>
      </c>
      <c r="L29" s="127" t="s">
        <v>294</v>
      </c>
      <c r="M29" s="127" t="s">
        <v>294</v>
      </c>
      <c r="N29" s="127" t="s">
        <v>294</v>
      </c>
      <c r="O29" s="127" t="s">
        <v>294</v>
      </c>
      <c r="P29" s="127" t="s">
        <v>294</v>
      </c>
      <c r="Q29" s="127" t="s">
        <v>294</v>
      </c>
      <c r="R29" s="127" t="s">
        <v>294</v>
      </c>
      <c r="S29" s="127" t="s">
        <v>294</v>
      </c>
      <c r="T29" s="127" t="s">
        <v>294</v>
      </c>
      <c r="U29" s="127" t="s">
        <v>294</v>
      </c>
      <c r="V29" s="127" t="s">
        <v>294</v>
      </c>
      <c r="W29" s="127" t="s">
        <v>294</v>
      </c>
      <c r="X29" s="127" t="s">
        <v>294</v>
      </c>
      <c r="Y29" s="127" t="s">
        <v>294</v>
      </c>
      <c r="Z29" s="127" t="s">
        <v>294</v>
      </c>
    </row>
    <row r="30" spans="1:28" ht="30" x14ac:dyDescent="0.25">
      <c r="A30" s="42" t="s">
        <v>344</v>
      </c>
      <c r="B30" s="42"/>
      <c r="C30" s="43" t="s">
        <v>366</v>
      </c>
      <c r="D30" s="43" t="s">
        <v>367</v>
      </c>
      <c r="E30" s="43" t="s">
        <v>368</v>
      </c>
      <c r="F30" s="43" t="s">
        <v>369</v>
      </c>
      <c r="G30" s="43" t="s">
        <v>370</v>
      </c>
      <c r="H30" s="43" t="s">
        <v>327</v>
      </c>
      <c r="I30" s="43" t="s">
        <v>371</v>
      </c>
      <c r="J30" s="43" t="s">
        <v>372</v>
      </c>
      <c r="K30" s="127"/>
      <c r="L30" s="127" t="s">
        <v>294</v>
      </c>
      <c r="M30" s="127" t="s">
        <v>294</v>
      </c>
      <c r="N30" s="127" t="s">
        <v>294</v>
      </c>
      <c r="O30" s="127" t="s">
        <v>294</v>
      </c>
      <c r="P30" s="127" t="s">
        <v>294</v>
      </c>
      <c r="Q30" s="127" t="s">
        <v>294</v>
      </c>
      <c r="R30" s="127" t="s">
        <v>294</v>
      </c>
      <c r="S30" s="127" t="s">
        <v>294</v>
      </c>
      <c r="T30" s="127" t="s">
        <v>294</v>
      </c>
      <c r="U30" s="127" t="s">
        <v>294</v>
      </c>
      <c r="V30" s="127" t="s">
        <v>294</v>
      </c>
      <c r="W30" s="127" t="s">
        <v>294</v>
      </c>
      <c r="X30" s="127" t="s">
        <v>294</v>
      </c>
      <c r="Y30" s="127" t="s">
        <v>294</v>
      </c>
      <c r="Z30" s="127" t="s">
        <v>294</v>
      </c>
    </row>
    <row r="31" spans="1:28" x14ac:dyDescent="0.25">
      <c r="A31" s="127" t="s">
        <v>361</v>
      </c>
      <c r="B31" s="127" t="s">
        <v>361</v>
      </c>
      <c r="C31" s="127" t="s">
        <v>361</v>
      </c>
      <c r="D31" s="127" t="s">
        <v>361</v>
      </c>
      <c r="E31" s="127" t="s">
        <v>361</v>
      </c>
      <c r="F31" s="127" t="s">
        <v>361</v>
      </c>
      <c r="G31" s="127" t="s">
        <v>361</v>
      </c>
      <c r="H31" s="127" t="s">
        <v>361</v>
      </c>
      <c r="I31" s="127" t="s">
        <v>361</v>
      </c>
      <c r="J31" s="127" t="s">
        <v>361</v>
      </c>
      <c r="K31" s="127" t="s">
        <v>361</v>
      </c>
      <c r="L31" s="127" t="s">
        <v>294</v>
      </c>
      <c r="M31" s="127" t="s">
        <v>294</v>
      </c>
      <c r="N31" s="127" t="s">
        <v>294</v>
      </c>
      <c r="O31" s="127" t="s">
        <v>294</v>
      </c>
      <c r="P31" s="127" t="s">
        <v>294</v>
      </c>
      <c r="Q31" s="127" t="s">
        <v>294</v>
      </c>
      <c r="R31" s="127" t="s">
        <v>294</v>
      </c>
      <c r="S31" s="127" t="s">
        <v>294</v>
      </c>
      <c r="T31" s="127" t="s">
        <v>294</v>
      </c>
      <c r="U31" s="127" t="s">
        <v>294</v>
      </c>
      <c r="V31" s="127" t="s">
        <v>294</v>
      </c>
      <c r="W31" s="127" t="s">
        <v>294</v>
      </c>
      <c r="X31" s="127" t="s">
        <v>294</v>
      </c>
      <c r="Y31" s="127" t="s">
        <v>294</v>
      </c>
      <c r="Z31" s="127" t="s">
        <v>294</v>
      </c>
    </row>
    <row r="35" spans="1:1" x14ac:dyDescent="0.25">
      <c r="A35" s="129"/>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22" customWidth="1"/>
    <col min="2" max="2" width="25.5703125" style="122" customWidth="1"/>
    <col min="3" max="3" width="71.28515625" style="122" customWidth="1"/>
    <col min="4" max="4" width="16.140625" style="122" customWidth="1"/>
    <col min="5" max="5" width="9.42578125" style="122" customWidth="1"/>
    <col min="6" max="6" width="8.7109375" style="122" customWidth="1"/>
    <col min="7" max="7" width="9" style="122" customWidth="1"/>
    <col min="8" max="8" width="8.42578125" style="122" customWidth="1"/>
    <col min="9" max="9" width="33.85546875" style="122" customWidth="1"/>
    <col min="10" max="11" width="19.140625" style="122" customWidth="1"/>
    <col min="12" max="12" width="16" style="122" customWidth="1"/>
    <col min="13" max="13" width="14.85546875" style="122" customWidth="1"/>
    <col min="14" max="14" width="16.28515625" style="122" customWidth="1"/>
    <col min="15" max="16384" width="9.140625" style="122"/>
  </cols>
  <sheetData>
    <row r="1" spans="1:22" s="77" customFormat="1" ht="18.75" customHeight="1" x14ac:dyDescent="0.2">
      <c r="A1" s="19"/>
      <c r="B1" s="19"/>
      <c r="O1" s="16" t="s">
        <v>22</v>
      </c>
    </row>
    <row r="2" spans="1:22" s="77" customFormat="1" ht="18.75" customHeight="1" x14ac:dyDescent="0.3">
      <c r="A2" s="19"/>
      <c r="B2" s="19"/>
      <c r="O2" s="14" t="s">
        <v>6</v>
      </c>
    </row>
    <row r="3" spans="1:22" s="77" customFormat="1" ht="18.75" x14ac:dyDescent="0.3">
      <c r="A3" s="13"/>
      <c r="B3" s="13"/>
      <c r="D3" s="236"/>
      <c r="E3" s="236"/>
      <c r="F3" s="236"/>
      <c r="G3" s="236"/>
      <c r="H3" s="236"/>
      <c r="I3" s="236"/>
      <c r="O3" s="14" t="s">
        <v>21</v>
      </c>
    </row>
    <row r="4" spans="1:22" s="77" customFormat="1" ht="18.75" x14ac:dyDescent="0.3">
      <c r="A4" s="13"/>
      <c r="B4" s="13"/>
      <c r="D4" s="286"/>
      <c r="E4" s="286"/>
      <c r="F4" s="286"/>
      <c r="G4" s="286"/>
      <c r="H4" s="286"/>
      <c r="I4" s="286"/>
      <c r="L4" s="14"/>
    </row>
    <row r="5" spans="1:22" s="77" customFormat="1" ht="15.75" x14ac:dyDescent="0.25">
      <c r="D5" s="236" t="str">
        <f>'1. паспорт местоположение'!$A$5</f>
        <v>Год раскрытия информации: 2025 год</v>
      </c>
      <c r="E5" s="236"/>
      <c r="F5" s="236"/>
      <c r="G5" s="236"/>
      <c r="H5" s="236"/>
      <c r="I5" s="236"/>
      <c r="J5" s="12"/>
    </row>
    <row r="6" spans="1:22" s="77" customFormat="1" ht="15.75" customHeight="1" x14ac:dyDescent="0.2">
      <c r="D6" s="255"/>
      <c r="E6" s="255"/>
      <c r="F6" s="255"/>
      <c r="G6" s="255"/>
      <c r="H6" s="255"/>
      <c r="I6" s="255"/>
    </row>
    <row r="7" spans="1:22" s="77" customFormat="1" ht="18.75" x14ac:dyDescent="0.2">
      <c r="D7" s="240" t="s">
        <v>5</v>
      </c>
      <c r="E7" s="240"/>
      <c r="F7" s="240"/>
      <c r="G7" s="240"/>
      <c r="H7" s="240"/>
      <c r="I7" s="240"/>
      <c r="J7" s="17"/>
      <c r="K7" s="17"/>
      <c r="L7" s="17"/>
      <c r="M7" s="17"/>
      <c r="N7" s="17"/>
      <c r="O7" s="17"/>
      <c r="P7" s="17"/>
      <c r="Q7" s="17"/>
      <c r="R7" s="17"/>
      <c r="S7" s="17"/>
      <c r="T7" s="17"/>
      <c r="U7" s="17"/>
      <c r="V7" s="17"/>
    </row>
    <row r="8" spans="1:22" s="77" customFormat="1" ht="18.75" x14ac:dyDescent="0.2">
      <c r="D8" s="240"/>
      <c r="E8" s="240"/>
      <c r="F8" s="240"/>
      <c r="G8" s="240"/>
      <c r="H8" s="240"/>
      <c r="I8" s="240"/>
      <c r="J8" s="17"/>
      <c r="K8" s="17"/>
      <c r="L8" s="17"/>
      <c r="M8" s="17"/>
      <c r="N8" s="17"/>
      <c r="O8" s="17"/>
      <c r="P8" s="17"/>
      <c r="Q8" s="17"/>
      <c r="R8" s="17"/>
      <c r="S8" s="17"/>
      <c r="T8" s="17"/>
      <c r="U8" s="17"/>
      <c r="V8" s="17"/>
    </row>
    <row r="9" spans="1:22" s="77" customFormat="1" ht="18.75" x14ac:dyDescent="0.2">
      <c r="D9" s="241" t="s">
        <v>264</v>
      </c>
      <c r="E9" s="241"/>
      <c r="F9" s="241"/>
      <c r="G9" s="241"/>
      <c r="H9" s="241"/>
      <c r="I9" s="241"/>
      <c r="J9" s="17"/>
      <c r="K9" s="17"/>
      <c r="L9" s="17"/>
      <c r="M9" s="17"/>
      <c r="N9" s="17"/>
      <c r="O9" s="17"/>
      <c r="P9" s="17"/>
      <c r="Q9" s="17"/>
      <c r="R9" s="17"/>
      <c r="S9" s="17"/>
      <c r="T9" s="17"/>
      <c r="U9" s="17"/>
      <c r="V9" s="17"/>
    </row>
    <row r="10" spans="1:22" s="77" customFormat="1" ht="18.75" x14ac:dyDescent="0.2">
      <c r="D10" s="246" t="s">
        <v>4</v>
      </c>
      <c r="E10" s="246"/>
      <c r="F10" s="246"/>
      <c r="G10" s="246"/>
      <c r="H10" s="246"/>
      <c r="I10" s="246"/>
      <c r="J10" s="17"/>
      <c r="K10" s="17"/>
      <c r="L10" s="17"/>
      <c r="M10" s="17"/>
      <c r="N10" s="17"/>
      <c r="O10" s="17"/>
      <c r="P10" s="17"/>
      <c r="Q10" s="17"/>
      <c r="R10" s="17"/>
      <c r="S10" s="17"/>
      <c r="T10" s="17"/>
      <c r="U10" s="17"/>
      <c r="V10" s="17"/>
    </row>
    <row r="11" spans="1:22" s="77" customFormat="1" ht="18.75" x14ac:dyDescent="0.2">
      <c r="D11" s="240"/>
      <c r="E11" s="240"/>
      <c r="F11" s="240"/>
      <c r="G11" s="240"/>
      <c r="H11" s="240"/>
      <c r="I11" s="240"/>
      <c r="J11" s="17"/>
      <c r="K11" s="17"/>
      <c r="L11" s="17"/>
      <c r="M11" s="17"/>
      <c r="N11" s="17"/>
      <c r="O11" s="17"/>
      <c r="P11" s="17"/>
      <c r="Q11" s="17"/>
      <c r="R11" s="17"/>
      <c r="S11" s="17"/>
      <c r="T11" s="17"/>
      <c r="U11" s="17"/>
      <c r="V11" s="17"/>
    </row>
    <row r="12" spans="1:22" s="77" customFormat="1" ht="18.75" x14ac:dyDescent="0.2">
      <c r="D12" s="241" t="str">
        <f>'1. паспорт местоположение'!$A$12</f>
        <v>L_Che370</v>
      </c>
      <c r="E12" s="241"/>
      <c r="F12" s="241"/>
      <c r="G12" s="241"/>
      <c r="H12" s="241"/>
      <c r="I12" s="241"/>
      <c r="J12" s="17"/>
      <c r="K12" s="17"/>
      <c r="L12" s="17"/>
      <c r="M12" s="17"/>
      <c r="N12" s="17"/>
      <c r="O12" s="17"/>
      <c r="P12" s="17"/>
      <c r="Q12" s="17"/>
      <c r="R12" s="17"/>
      <c r="S12" s="17"/>
      <c r="T12" s="17"/>
      <c r="U12" s="17"/>
      <c r="V12" s="17"/>
    </row>
    <row r="13" spans="1:22" s="77" customFormat="1" ht="18.75" x14ac:dyDescent="0.2">
      <c r="D13" s="246" t="s">
        <v>3</v>
      </c>
      <c r="E13" s="246"/>
      <c r="F13" s="246"/>
      <c r="G13" s="246"/>
      <c r="H13" s="246"/>
      <c r="I13" s="246"/>
      <c r="J13" s="17"/>
      <c r="K13" s="17"/>
      <c r="L13" s="17"/>
      <c r="M13" s="17"/>
      <c r="N13" s="17"/>
      <c r="O13" s="17"/>
      <c r="P13" s="17"/>
      <c r="Q13" s="17"/>
      <c r="R13" s="17"/>
      <c r="S13" s="17"/>
      <c r="T13" s="17"/>
      <c r="U13" s="17"/>
      <c r="V13" s="17"/>
    </row>
    <row r="14" spans="1:22" s="80" customFormat="1" ht="15.75" customHeight="1" x14ac:dyDescent="0.2">
      <c r="D14" s="274"/>
      <c r="E14" s="274"/>
      <c r="F14" s="274"/>
      <c r="G14" s="274"/>
      <c r="H14" s="274"/>
      <c r="I14" s="274"/>
      <c r="J14" s="1"/>
      <c r="K14" s="1"/>
      <c r="L14" s="1"/>
      <c r="M14" s="1"/>
      <c r="N14" s="1"/>
      <c r="O14" s="1"/>
      <c r="P14" s="1"/>
      <c r="Q14" s="1"/>
      <c r="R14" s="1"/>
      <c r="S14" s="1"/>
      <c r="T14" s="1"/>
      <c r="U14" s="1"/>
      <c r="V14" s="1"/>
    </row>
    <row r="15" spans="1:22" s="25" customFormat="1" ht="100.5" customHeight="1" x14ac:dyDescent="0.25">
      <c r="C15" s="247" t="str">
        <f>'1. паспорт местоположение'!$A$15</f>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
      <c r="D15" s="285"/>
      <c r="E15" s="285"/>
      <c r="F15" s="285"/>
      <c r="G15" s="285"/>
      <c r="H15" s="285"/>
      <c r="I15" s="285"/>
      <c r="J15" s="285"/>
      <c r="K15" s="285"/>
      <c r="L15" s="285"/>
      <c r="M15" s="285"/>
      <c r="N15" s="18"/>
      <c r="O15" s="18"/>
      <c r="P15" s="18"/>
      <c r="Q15" s="18"/>
      <c r="R15" s="18"/>
      <c r="S15" s="18"/>
      <c r="T15" s="18"/>
      <c r="U15" s="18"/>
      <c r="V15" s="18"/>
    </row>
    <row r="16" spans="1:22" s="25" customFormat="1" ht="15" customHeight="1" x14ac:dyDescent="0.2">
      <c r="D16" s="246" t="s">
        <v>2</v>
      </c>
      <c r="E16" s="246"/>
      <c r="F16" s="246"/>
      <c r="G16" s="246"/>
      <c r="H16" s="246"/>
      <c r="I16" s="246"/>
      <c r="J16" s="15"/>
      <c r="K16" s="15"/>
      <c r="L16" s="15"/>
      <c r="M16" s="15"/>
      <c r="N16" s="15"/>
      <c r="O16" s="15"/>
      <c r="P16" s="15"/>
      <c r="Q16" s="15"/>
      <c r="R16" s="15"/>
      <c r="S16" s="15"/>
      <c r="T16" s="15"/>
      <c r="U16" s="15"/>
      <c r="V16" s="15"/>
    </row>
    <row r="17" spans="1:26" s="77" customFormat="1" ht="18.75" x14ac:dyDescent="0.2">
      <c r="A17" s="81"/>
      <c r="B17" s="81"/>
      <c r="C17" s="81"/>
      <c r="D17" s="241"/>
      <c r="E17" s="241"/>
      <c r="F17" s="241"/>
      <c r="G17" s="241"/>
      <c r="H17" s="241"/>
      <c r="I17" s="241"/>
      <c r="J17" s="81"/>
      <c r="K17" s="81"/>
      <c r="L17" s="81"/>
      <c r="M17" s="81"/>
      <c r="N17" s="81"/>
      <c r="O17" s="81"/>
      <c r="P17" s="17"/>
      <c r="Q17" s="17"/>
      <c r="R17" s="17"/>
      <c r="S17" s="17"/>
      <c r="T17" s="17"/>
      <c r="U17" s="17"/>
      <c r="V17" s="17"/>
      <c r="W17" s="17"/>
      <c r="X17" s="17"/>
      <c r="Y17" s="17"/>
      <c r="Z17" s="17"/>
    </row>
    <row r="18" spans="1:26" s="25" customFormat="1" ht="91.5" customHeight="1" x14ac:dyDescent="0.2">
      <c r="A18" s="287" t="s">
        <v>373</v>
      </c>
      <c r="B18" s="287"/>
      <c r="C18" s="287"/>
      <c r="D18" s="287"/>
      <c r="E18" s="287"/>
      <c r="F18" s="287"/>
      <c r="G18" s="287"/>
      <c r="H18" s="287"/>
      <c r="I18" s="287"/>
      <c r="J18" s="287"/>
      <c r="K18" s="287"/>
      <c r="L18" s="287"/>
      <c r="M18" s="287"/>
      <c r="N18" s="287"/>
      <c r="O18" s="287"/>
      <c r="P18" s="113"/>
      <c r="Q18" s="113"/>
      <c r="R18" s="113"/>
      <c r="S18" s="113"/>
      <c r="T18" s="113"/>
      <c r="U18" s="113"/>
      <c r="V18" s="113"/>
      <c r="W18" s="113"/>
      <c r="X18" s="113"/>
      <c r="Y18" s="113"/>
      <c r="Z18" s="113"/>
    </row>
    <row r="19" spans="1:26" s="25" customFormat="1" ht="78" customHeight="1" x14ac:dyDescent="0.2">
      <c r="A19" s="248" t="s">
        <v>1</v>
      </c>
      <c r="B19" s="248" t="s">
        <v>374</v>
      </c>
      <c r="C19" s="248" t="s">
        <v>375</v>
      </c>
      <c r="D19" s="248" t="s">
        <v>376</v>
      </c>
      <c r="E19" s="282" t="s">
        <v>377</v>
      </c>
      <c r="F19" s="283"/>
      <c r="G19" s="283"/>
      <c r="H19" s="283"/>
      <c r="I19" s="284"/>
      <c r="J19" s="248" t="s">
        <v>378</v>
      </c>
      <c r="K19" s="248"/>
      <c r="L19" s="248"/>
      <c r="M19" s="248"/>
      <c r="N19" s="248"/>
      <c r="O19" s="248"/>
      <c r="P19" s="78"/>
      <c r="Q19" s="78"/>
      <c r="R19" s="78"/>
      <c r="S19" s="78"/>
      <c r="T19" s="78"/>
      <c r="U19" s="78"/>
      <c r="V19" s="78"/>
      <c r="W19" s="78"/>
    </row>
    <row r="20" spans="1:26" s="25" customFormat="1" ht="51" customHeight="1" x14ac:dyDescent="0.2">
      <c r="A20" s="248"/>
      <c r="B20" s="248"/>
      <c r="C20" s="248"/>
      <c r="D20" s="248"/>
      <c r="E20" s="114" t="s">
        <v>379</v>
      </c>
      <c r="F20" s="114" t="s">
        <v>380</v>
      </c>
      <c r="G20" s="114" t="s">
        <v>381</v>
      </c>
      <c r="H20" s="114" t="s">
        <v>382</v>
      </c>
      <c r="I20" s="114" t="s">
        <v>383</v>
      </c>
      <c r="J20" s="114" t="s">
        <v>384</v>
      </c>
      <c r="K20" s="114" t="s">
        <v>385</v>
      </c>
      <c r="L20" s="115" t="s">
        <v>386</v>
      </c>
      <c r="M20" s="116" t="s">
        <v>387</v>
      </c>
      <c r="N20" s="116" t="s">
        <v>388</v>
      </c>
      <c r="O20" s="116" t="s">
        <v>389</v>
      </c>
      <c r="P20" s="1"/>
      <c r="Q20" s="1"/>
      <c r="R20" s="1"/>
      <c r="S20" s="1"/>
      <c r="T20" s="1"/>
      <c r="U20" s="1"/>
      <c r="V20" s="1"/>
      <c r="W20" s="1"/>
      <c r="X20" s="117"/>
      <c r="Y20" s="117"/>
      <c r="Z20" s="117"/>
    </row>
    <row r="21" spans="1:26" s="25" customFormat="1" ht="16.5" customHeight="1" x14ac:dyDescent="0.2">
      <c r="A21" s="118">
        <v>1</v>
      </c>
      <c r="B21" s="119">
        <v>2</v>
      </c>
      <c r="C21" s="118">
        <v>3</v>
      </c>
      <c r="D21" s="119">
        <v>4</v>
      </c>
      <c r="E21" s="118">
        <v>5</v>
      </c>
      <c r="F21" s="119">
        <v>6</v>
      </c>
      <c r="G21" s="118">
        <v>7</v>
      </c>
      <c r="H21" s="119">
        <v>8</v>
      </c>
      <c r="I21" s="118">
        <v>9</v>
      </c>
      <c r="J21" s="119">
        <v>10</v>
      </c>
      <c r="K21" s="118">
        <v>11</v>
      </c>
      <c r="L21" s="119">
        <v>12</v>
      </c>
      <c r="M21" s="118">
        <v>13</v>
      </c>
      <c r="N21" s="119">
        <v>14</v>
      </c>
      <c r="O21" s="118">
        <v>15</v>
      </c>
      <c r="P21" s="1"/>
      <c r="Q21" s="1"/>
      <c r="R21" s="1"/>
      <c r="S21" s="1"/>
      <c r="T21" s="1"/>
      <c r="U21" s="1"/>
      <c r="V21" s="1"/>
      <c r="W21" s="1"/>
      <c r="X21" s="117"/>
      <c r="Y21" s="117"/>
      <c r="Z21" s="117"/>
    </row>
    <row r="22" spans="1:26" s="25" customFormat="1" ht="33" customHeight="1" x14ac:dyDescent="0.2">
      <c r="A22" s="120" t="s">
        <v>294</v>
      </c>
      <c r="B22" s="120" t="s">
        <v>294</v>
      </c>
      <c r="C22" s="120" t="s">
        <v>294</v>
      </c>
      <c r="D22" s="120" t="s">
        <v>294</v>
      </c>
      <c r="E22" s="120" t="s">
        <v>294</v>
      </c>
      <c r="F22" s="120" t="s">
        <v>294</v>
      </c>
      <c r="G22" s="120" t="s">
        <v>294</v>
      </c>
      <c r="H22" s="120" t="s">
        <v>294</v>
      </c>
      <c r="I22" s="120" t="s">
        <v>294</v>
      </c>
      <c r="J22" s="120" t="s">
        <v>294</v>
      </c>
      <c r="K22" s="120" t="s">
        <v>294</v>
      </c>
      <c r="L22" s="120" t="s">
        <v>294</v>
      </c>
      <c r="M22" s="120" t="s">
        <v>294</v>
      </c>
      <c r="N22" s="120" t="s">
        <v>294</v>
      </c>
      <c r="O22" s="120" t="s">
        <v>294</v>
      </c>
      <c r="P22" s="1"/>
      <c r="Q22" s="1"/>
      <c r="R22" s="1"/>
      <c r="S22" s="1"/>
      <c r="T22" s="1"/>
      <c r="U22" s="1"/>
      <c r="V22" s="117"/>
      <c r="W22" s="117"/>
      <c r="X22" s="117"/>
      <c r="Y22" s="117"/>
      <c r="Z22" s="117"/>
    </row>
    <row r="23" spans="1:26" x14ac:dyDescent="0.25">
      <c r="A23" s="121"/>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row>
    <row r="24" spans="1:26" x14ac:dyDescent="0.25">
      <c r="A24" s="121"/>
      <c r="B24" s="121"/>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21"/>
    </row>
    <row r="25" spans="1:26" x14ac:dyDescent="0.25">
      <c r="A25" s="121"/>
      <c r="B25" s="121"/>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row>
    <row r="26" spans="1:26" x14ac:dyDescent="0.25">
      <c r="A26" s="121"/>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row>
    <row r="27" spans="1:26" x14ac:dyDescent="0.25">
      <c r="A27" s="121"/>
      <c r="B27" s="12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row>
    <row r="28" spans="1:26" x14ac:dyDescent="0.25">
      <c r="A28" s="121"/>
      <c r="B28" s="121"/>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row>
    <row r="29" spans="1:26" x14ac:dyDescent="0.25">
      <c r="A29" s="121"/>
      <c r="B29" s="121"/>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row>
    <row r="30" spans="1:26" x14ac:dyDescent="0.25">
      <c r="A30" s="121"/>
      <c r="B30" s="121"/>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row>
    <row r="31" spans="1:26" x14ac:dyDescent="0.25">
      <c r="A31" s="121"/>
      <c r="B31" s="121"/>
      <c r="C31" s="121"/>
      <c r="D31" s="121"/>
      <c r="E31" s="121"/>
      <c r="F31" s="121"/>
      <c r="G31" s="121"/>
      <c r="H31" s="121"/>
      <c r="I31" s="121"/>
      <c r="J31" s="121"/>
      <c r="K31" s="121"/>
      <c r="L31" s="121"/>
      <c r="M31" s="121"/>
      <c r="N31" s="121"/>
      <c r="O31" s="121"/>
      <c r="P31" s="121"/>
      <c r="Q31" s="121"/>
      <c r="R31" s="121"/>
      <c r="S31" s="121"/>
      <c r="T31" s="121"/>
      <c r="U31" s="121"/>
      <c r="V31" s="121"/>
      <c r="W31" s="121"/>
      <c r="X31" s="121"/>
      <c r="Y31" s="121"/>
      <c r="Z31" s="121"/>
    </row>
    <row r="32" spans="1:26" x14ac:dyDescent="0.25">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row>
    <row r="33" spans="1:26" x14ac:dyDescent="0.25">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row r="34" spans="1:26" x14ac:dyDescent="0.25">
      <c r="A34" s="121"/>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row>
    <row r="35" spans="1:26" x14ac:dyDescent="0.25">
      <c r="A35" s="121"/>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row>
    <row r="36" spans="1:26" x14ac:dyDescent="0.25">
      <c r="A36" s="121"/>
      <c r="B36" s="121"/>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row>
    <row r="37" spans="1:26" x14ac:dyDescent="0.25">
      <c r="A37" s="121"/>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row>
    <row r="38" spans="1:26" x14ac:dyDescent="0.25">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row>
    <row r="39" spans="1:26" x14ac:dyDescent="0.25">
      <c r="A39" s="121"/>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row>
    <row r="40" spans="1:26"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row>
    <row r="41" spans="1:26" x14ac:dyDescent="0.25">
      <c r="A41" s="121"/>
      <c r="B41" s="121"/>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row>
    <row r="42" spans="1:26" x14ac:dyDescent="0.25">
      <c r="A42" s="121"/>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row>
    <row r="43" spans="1:26" x14ac:dyDescent="0.25">
      <c r="A43" s="121"/>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row>
    <row r="44" spans="1:26" x14ac:dyDescent="0.25">
      <c r="A44" s="121"/>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row>
    <row r="45" spans="1:26" x14ac:dyDescent="0.25">
      <c r="A45" s="121"/>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row>
    <row r="46" spans="1:26"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row>
    <row r="47" spans="1:26" x14ac:dyDescent="0.25">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row>
    <row r="48" spans="1:26" x14ac:dyDescent="0.25">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row>
    <row r="49" spans="1:26" x14ac:dyDescent="0.25">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row>
    <row r="50" spans="1:26"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row>
    <row r="51" spans="1:26"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row>
    <row r="52" spans="1:26"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row>
    <row r="53" spans="1:26"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row>
    <row r="54" spans="1:26"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row>
    <row r="55" spans="1:26"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row>
    <row r="56" spans="1:26"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row>
    <row r="57" spans="1:26"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row>
    <row r="58" spans="1:26"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row>
    <row r="59" spans="1:26"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row>
    <row r="60" spans="1:26"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row>
    <row r="61" spans="1:26"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row>
    <row r="62" spans="1:26"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row>
    <row r="63" spans="1:26"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row>
    <row r="64" spans="1:26"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row>
    <row r="65" spans="1:26"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row>
    <row r="66" spans="1:26"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row>
    <row r="67" spans="1:26"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row>
    <row r="68" spans="1:26"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row>
    <row r="69" spans="1:26"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row>
    <row r="70" spans="1:26"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row>
    <row r="71" spans="1:26"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row>
    <row r="72" spans="1:26"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row>
    <row r="73" spans="1:26"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row>
    <row r="74" spans="1:26"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c r="W74" s="121"/>
      <c r="X74" s="121"/>
      <c r="Y74" s="121"/>
      <c r="Z74" s="121"/>
    </row>
    <row r="75" spans="1:26"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row>
    <row r="76" spans="1:26"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row>
    <row r="77" spans="1:26"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row>
    <row r="78" spans="1:26"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row>
    <row r="79" spans="1:26"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row>
    <row r="80" spans="1:26"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row>
    <row r="81" spans="1:26"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row>
    <row r="82" spans="1:26"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row>
    <row r="83" spans="1:26"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row>
    <row r="84" spans="1:26"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c r="W84" s="121"/>
      <c r="X84" s="121"/>
      <c r="Y84" s="121"/>
      <c r="Z84" s="121"/>
    </row>
    <row r="85" spans="1:26"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c r="W85" s="121"/>
      <c r="X85" s="121"/>
      <c r="Y85" s="121"/>
      <c r="Z85" s="121"/>
    </row>
    <row r="86" spans="1:26"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row>
    <row r="87" spans="1:26"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row>
    <row r="88" spans="1:26"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c r="W88" s="121"/>
      <c r="X88" s="121"/>
      <c r="Y88" s="121"/>
      <c r="Z88" s="121"/>
    </row>
    <row r="89" spans="1:26"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row>
    <row r="90" spans="1:26"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row>
    <row r="91" spans="1:26"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row>
    <row r="92" spans="1:26"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row>
    <row r="93" spans="1:26"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row>
    <row r="94" spans="1:26"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row>
    <row r="95" spans="1:26"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row>
    <row r="96" spans="1:26"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row>
    <row r="97" spans="1:26"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row>
    <row r="98" spans="1:26"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row>
    <row r="99" spans="1:26"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row>
    <row r="100" spans="1:26"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row>
    <row r="101" spans="1:26"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row>
    <row r="102" spans="1:26"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row>
    <row r="103" spans="1:26"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row>
    <row r="104" spans="1:26"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row>
    <row r="105" spans="1:26"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row>
    <row r="106" spans="1:26"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row>
    <row r="107" spans="1:26"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row>
    <row r="108" spans="1:26"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row>
    <row r="109" spans="1:26"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row>
    <row r="110" spans="1:26"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row>
    <row r="111" spans="1:26"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row>
    <row r="112" spans="1:26"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row>
    <row r="113" spans="1:26"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row>
    <row r="114" spans="1:26"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row>
    <row r="115" spans="1:26"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row>
    <row r="116" spans="1:26"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row>
    <row r="117" spans="1:26"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row>
    <row r="118" spans="1:26"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row>
    <row r="119" spans="1:26"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row>
    <row r="120" spans="1:26"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row>
    <row r="121" spans="1:26"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row>
    <row r="122" spans="1:26"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row>
    <row r="123" spans="1:26"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row>
    <row r="124" spans="1:26"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row>
    <row r="125" spans="1:26"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row>
    <row r="126" spans="1:26"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row>
    <row r="127" spans="1:26"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row>
    <row r="128" spans="1:26"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row>
    <row r="129" spans="1:26"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row>
    <row r="130" spans="1:26"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row>
    <row r="131" spans="1:26"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row>
    <row r="132" spans="1:26"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row>
    <row r="133" spans="1:26"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row>
    <row r="134" spans="1:26"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row>
    <row r="135" spans="1:26"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row>
    <row r="136" spans="1:26"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row>
    <row r="137" spans="1:26"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row>
    <row r="138" spans="1:26"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row>
    <row r="139" spans="1:26"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row>
    <row r="140" spans="1:26"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row>
    <row r="141" spans="1:26"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row>
    <row r="142" spans="1:26"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row>
    <row r="143" spans="1:26"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row>
    <row r="144" spans="1:26"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row>
    <row r="145" spans="1:26"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row>
    <row r="146" spans="1:26"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row>
    <row r="147" spans="1:26"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row>
    <row r="148" spans="1:26"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row>
    <row r="149" spans="1:26"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row>
    <row r="150" spans="1:26"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row>
    <row r="151" spans="1:26"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row>
    <row r="152" spans="1:26"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row>
    <row r="153" spans="1:26"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row>
    <row r="154" spans="1:26"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row>
    <row r="155" spans="1:26"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row>
    <row r="156" spans="1:26"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row>
    <row r="157" spans="1:26"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row>
    <row r="158" spans="1:26"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row>
    <row r="159" spans="1:26"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row>
    <row r="160" spans="1:26"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row>
    <row r="161" spans="1:26"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row>
    <row r="162" spans="1:26"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row>
    <row r="163" spans="1:26"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row>
    <row r="164" spans="1:26"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row>
    <row r="165" spans="1:26"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row>
    <row r="166" spans="1:26"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row>
    <row r="167" spans="1:26"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row>
    <row r="168" spans="1:26"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row>
    <row r="169" spans="1:26"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row>
    <row r="170" spans="1:26"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row>
    <row r="171" spans="1:26"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row>
    <row r="172" spans="1:26"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row>
    <row r="173" spans="1:26"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row>
    <row r="174" spans="1:26"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row>
    <row r="175" spans="1:26"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row>
    <row r="176" spans="1:26"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row>
    <row r="177" spans="1:26"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row>
    <row r="178" spans="1:26"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row>
    <row r="179" spans="1:26"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row>
    <row r="180" spans="1:26"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row>
    <row r="181" spans="1:26"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row>
    <row r="182" spans="1:26"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row>
    <row r="183" spans="1:26"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row>
    <row r="184" spans="1:26"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row>
    <row r="185" spans="1:26"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row>
    <row r="186" spans="1:26"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row>
    <row r="187" spans="1:26"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row>
    <row r="188" spans="1:26"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row>
    <row r="189" spans="1:26"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row>
    <row r="190" spans="1:26"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row>
    <row r="191" spans="1:26"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row>
    <row r="192" spans="1:26"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row>
    <row r="193" spans="1:26"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row>
    <row r="194" spans="1:26"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row>
    <row r="195" spans="1:26"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row>
    <row r="196" spans="1:26"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row>
    <row r="197" spans="1:26"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row>
    <row r="198" spans="1:26"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row>
    <row r="199" spans="1:26"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row>
    <row r="200" spans="1:26"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row>
    <row r="201" spans="1:26"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row>
    <row r="202" spans="1:26"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row>
    <row r="203" spans="1:26"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row>
    <row r="204" spans="1:26"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row>
    <row r="205" spans="1:26"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row>
    <row r="206" spans="1:26"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row>
    <row r="207" spans="1:26"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row>
    <row r="208" spans="1:26"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row>
    <row r="209" spans="1:26"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row>
    <row r="210" spans="1:26"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row>
    <row r="211" spans="1:26"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row>
    <row r="212" spans="1:26"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row>
    <row r="213" spans="1:26"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row>
    <row r="214" spans="1:26"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row>
    <row r="215" spans="1:26"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row>
    <row r="216" spans="1:26"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row>
    <row r="217" spans="1:26"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row>
    <row r="218" spans="1:26"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row>
    <row r="219" spans="1:26"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row>
    <row r="220" spans="1:26"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row>
    <row r="221" spans="1:26"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row>
    <row r="222" spans="1:26"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row>
    <row r="223" spans="1:26"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row>
    <row r="224" spans="1:26"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row>
    <row r="225" spans="1:26"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row>
    <row r="226" spans="1:26"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row>
    <row r="227" spans="1:26"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row>
    <row r="228" spans="1:26"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row>
    <row r="229" spans="1:26"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row>
    <row r="230" spans="1:26"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row>
    <row r="231" spans="1:26"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row>
    <row r="232" spans="1:26"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row>
    <row r="233" spans="1:26"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row>
    <row r="234" spans="1:26"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row>
    <row r="235" spans="1:26"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row>
    <row r="236" spans="1:26"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row>
    <row r="237" spans="1:26"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row>
    <row r="238" spans="1:26"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row>
    <row r="239" spans="1:26"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row>
    <row r="240" spans="1:26"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row>
    <row r="241" spans="1:26"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row>
    <row r="242" spans="1:26"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row>
    <row r="243" spans="1:26"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row>
    <row r="244" spans="1:26"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row>
    <row r="245" spans="1:26"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row>
    <row r="246" spans="1:26"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row>
    <row r="247" spans="1:26"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row>
    <row r="248" spans="1:26"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row>
    <row r="249" spans="1:26"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row>
    <row r="250" spans="1:26"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row>
    <row r="251" spans="1:26"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row>
    <row r="252" spans="1:26"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row>
    <row r="253" spans="1:26"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row>
    <row r="254" spans="1:26"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row>
    <row r="255" spans="1:26"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row>
    <row r="256" spans="1:26"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row>
    <row r="257" spans="1:26"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row>
    <row r="258" spans="1:26"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row>
    <row r="259" spans="1:26"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row>
    <row r="260" spans="1:26"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row>
    <row r="261" spans="1:26"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row>
    <row r="262" spans="1:26"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row>
    <row r="263" spans="1:26"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row>
    <row r="264" spans="1:26"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row>
    <row r="265" spans="1:26"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row>
    <row r="266" spans="1:26"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row>
    <row r="267" spans="1:26"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row>
    <row r="268" spans="1:26"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row>
    <row r="269" spans="1:26"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row>
    <row r="270" spans="1:26"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row>
    <row r="271" spans="1:26"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row>
    <row r="272" spans="1:26"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row>
    <row r="273" spans="1:26"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row>
    <row r="274" spans="1:26"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row>
    <row r="275" spans="1:26"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row>
    <row r="276" spans="1:26"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row>
    <row r="277" spans="1:26"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row>
    <row r="278" spans="1:26"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row>
    <row r="279" spans="1:26"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row>
    <row r="280" spans="1:26"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row>
    <row r="281" spans="1:26"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row>
    <row r="282" spans="1:26"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row>
    <row r="283" spans="1:26"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row>
    <row r="284" spans="1:26"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row>
    <row r="285" spans="1:26"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row>
    <row r="286" spans="1:26"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row>
    <row r="287" spans="1:26"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row>
    <row r="288" spans="1:26"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row>
    <row r="289" spans="1:26"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row>
    <row r="290" spans="1:26"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row>
    <row r="291" spans="1:26"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row>
    <row r="292" spans="1:26"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row>
    <row r="293" spans="1:26"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row>
    <row r="294" spans="1:26"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row>
    <row r="295" spans="1:26"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row>
    <row r="296" spans="1:26"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row>
    <row r="297" spans="1:26"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row>
    <row r="298" spans="1:26"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row>
    <row r="299" spans="1:26"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row>
    <row r="300" spans="1:26"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row>
    <row r="301" spans="1:26"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row>
    <row r="302" spans="1:26"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row>
    <row r="303" spans="1:26"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row>
    <row r="304" spans="1:26"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row>
    <row r="305" spans="1:26"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row>
    <row r="306" spans="1:26"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row>
    <row r="307" spans="1:26"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row>
    <row r="308" spans="1:26"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row>
    <row r="309" spans="1:26"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row>
    <row r="310" spans="1:26"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row>
    <row r="311" spans="1:26"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row>
    <row r="312" spans="1:26"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row>
    <row r="313" spans="1:26"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row>
    <row r="314" spans="1:26"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row>
    <row r="315" spans="1:26"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row>
    <row r="316" spans="1:26"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row>
    <row r="317" spans="1:26"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row>
    <row r="318" spans="1:26"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row>
    <row r="319" spans="1:26"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row>
    <row r="320" spans="1:26"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row>
    <row r="321" spans="1:26"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row>
    <row r="322" spans="1:26"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row>
    <row r="323" spans="1:26"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row>
    <row r="324" spans="1:26"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row>
    <row r="325" spans="1:26"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row>
    <row r="326" spans="1:26"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row>
    <row r="327" spans="1:26"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row>
    <row r="328" spans="1:26"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row>
    <row r="329" spans="1:26"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row>
    <row r="330" spans="1:26"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row>
    <row r="331" spans="1:26"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row>
    <row r="332" spans="1:26"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row>
    <row r="333" spans="1:26"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row>
    <row r="334" spans="1:26"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row>
    <row r="335" spans="1:26"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row>
    <row r="336" spans="1:26"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row>
    <row r="337" spans="1:26"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row>
    <row r="338" spans="1:26"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row>
    <row r="339" spans="1:26"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row>
    <row r="340" spans="1:26"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row>
    <row r="341" spans="1:26"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row>
    <row r="342" spans="1:26"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row>
    <row r="343" spans="1:26"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row>
    <row r="344" spans="1:26"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row>
    <row r="345" spans="1:26"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row>
    <row r="346" spans="1:26"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row>
    <row r="347" spans="1:26"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row>
    <row r="348" spans="1:26"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row>
    <row r="349" spans="1:26"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row>
    <row r="350" spans="1:26"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row>
    <row r="351" spans="1:26"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row>
    <row r="352" spans="1:26"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row>
    <row r="353" spans="1:26"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row>
    <row r="354" spans="1:26"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row>
    <row r="355" spans="1:26"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row>
    <row r="356" spans="1:26"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row>
    <row r="357" spans="1:26"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row>
    <row r="358" spans="1:26"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row>
    <row r="359" spans="1:26"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row>
    <row r="360" spans="1:26"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39"/>
    <col min="2" max="2" width="28" style="39" customWidth="1"/>
    <col min="3" max="3" width="24.140625" style="39" customWidth="1"/>
    <col min="4" max="4" width="20" style="39" customWidth="1"/>
    <col min="5" max="5" width="15.85546875" style="39" customWidth="1"/>
    <col min="6" max="16384" width="9.140625" style="39"/>
  </cols>
  <sheetData>
    <row r="1" spans="1:6" ht="18.75" x14ac:dyDescent="0.25">
      <c r="A1" s="19"/>
      <c r="B1" s="77"/>
      <c r="C1" s="77"/>
      <c r="D1" s="77"/>
      <c r="E1" s="77"/>
      <c r="F1" s="16" t="s">
        <v>22</v>
      </c>
    </row>
    <row r="2" spans="1:6" ht="18.75" x14ac:dyDescent="0.3">
      <c r="A2" s="19"/>
      <c r="B2" s="77"/>
      <c r="C2" s="77"/>
      <c r="D2" s="77"/>
      <c r="E2" s="77"/>
      <c r="F2" s="14" t="s">
        <v>6</v>
      </c>
    </row>
    <row r="3" spans="1:6" ht="18.75" x14ac:dyDescent="0.3">
      <c r="A3" s="13"/>
      <c r="B3" s="77"/>
      <c r="C3" s="77"/>
      <c r="D3" s="77"/>
      <c r="E3" s="77"/>
      <c r="F3" s="14" t="s">
        <v>21</v>
      </c>
    </row>
    <row r="4" spans="1:6" ht="15.75" x14ac:dyDescent="0.25">
      <c r="A4" s="13"/>
      <c r="B4" s="77"/>
      <c r="C4" s="77"/>
      <c r="D4" s="77"/>
      <c r="E4" s="77"/>
      <c r="F4" s="77"/>
    </row>
    <row r="5" spans="1:6" ht="15.75" x14ac:dyDescent="0.25">
      <c r="A5" s="236" t="str">
        <f>'1. паспорт местоположение'!$A$5</f>
        <v>Год раскрытия информации: 2025 год</v>
      </c>
      <c r="B5" s="236"/>
      <c r="C5" s="236"/>
      <c r="D5" s="236"/>
      <c r="E5" s="236"/>
      <c r="F5" s="236"/>
    </row>
    <row r="6" spans="1:6" ht="15.75" x14ac:dyDescent="0.25">
      <c r="A6" s="20"/>
      <c r="B6" s="21"/>
      <c r="C6" s="21"/>
      <c r="D6" s="21"/>
      <c r="E6" s="21"/>
      <c r="F6" s="21"/>
    </row>
    <row r="7" spans="1:6" ht="18.75" x14ac:dyDescent="0.25">
      <c r="A7" s="240" t="s">
        <v>5</v>
      </c>
      <c r="B7" s="240"/>
      <c r="C7" s="240"/>
      <c r="D7" s="240"/>
      <c r="E7" s="240"/>
      <c r="F7" s="240"/>
    </row>
    <row r="8" spans="1:6" ht="18.75" x14ac:dyDescent="0.25">
      <c r="A8" s="82"/>
      <c r="B8" s="82"/>
      <c r="C8" s="82"/>
      <c r="D8" s="82"/>
      <c r="E8" s="82"/>
      <c r="F8" s="82"/>
    </row>
    <row r="9" spans="1:6" ht="15.75" x14ac:dyDescent="0.25">
      <c r="A9" s="241" t="s">
        <v>264</v>
      </c>
      <c r="B9" s="241"/>
      <c r="C9" s="241"/>
      <c r="D9" s="241"/>
      <c r="E9" s="241"/>
      <c r="F9" s="241"/>
    </row>
    <row r="10" spans="1:6" ht="15.75" x14ac:dyDescent="0.25">
      <c r="A10" s="246" t="s">
        <v>4</v>
      </c>
      <c r="B10" s="246"/>
      <c r="C10" s="246"/>
      <c r="D10" s="246"/>
      <c r="E10" s="246"/>
      <c r="F10" s="246"/>
    </row>
    <row r="11" spans="1:6" ht="18.75" x14ac:dyDescent="0.25">
      <c r="A11" s="82"/>
      <c r="B11" s="82"/>
      <c r="C11" s="82"/>
      <c r="D11" s="82"/>
      <c r="E11" s="82"/>
      <c r="F11" s="82"/>
    </row>
    <row r="12" spans="1:6" ht="15.75" x14ac:dyDescent="0.25">
      <c r="A12" s="241" t="str">
        <f>'1. паспорт местоположение'!$A$12</f>
        <v>L_Che370</v>
      </c>
      <c r="B12" s="241"/>
      <c r="C12" s="241"/>
      <c r="D12" s="241"/>
      <c r="E12" s="241"/>
      <c r="F12" s="241"/>
    </row>
    <row r="13" spans="1:6" ht="15.75" x14ac:dyDescent="0.25">
      <c r="A13" s="246" t="s">
        <v>3</v>
      </c>
      <c r="B13" s="246"/>
      <c r="C13" s="246"/>
      <c r="D13" s="246"/>
      <c r="E13" s="246"/>
      <c r="F13" s="246"/>
    </row>
    <row r="14" spans="1:6" ht="18.75" x14ac:dyDescent="0.25">
      <c r="A14" s="1"/>
      <c r="B14" s="1"/>
      <c r="C14" s="1"/>
      <c r="D14" s="1"/>
      <c r="E14" s="1"/>
      <c r="F14" s="1"/>
    </row>
    <row r="15" spans="1:6" ht="53.25" customHeight="1" x14ac:dyDescent="0.25">
      <c r="A15" s="247" t="str">
        <f>'1. паспорт местоположение'!$A$15</f>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
      <c r="B15" s="247"/>
      <c r="C15" s="247"/>
      <c r="D15" s="247"/>
      <c r="E15" s="247"/>
      <c r="F15" s="247"/>
    </row>
    <row r="16" spans="1:6" ht="15.75" x14ac:dyDescent="0.25">
      <c r="A16" s="246" t="s">
        <v>2</v>
      </c>
      <c r="B16" s="246"/>
      <c r="C16" s="246"/>
      <c r="D16" s="246"/>
      <c r="E16" s="246"/>
      <c r="F16" s="246"/>
    </row>
    <row r="17" spans="1:6" ht="18.75" x14ac:dyDescent="0.25">
      <c r="A17" s="78"/>
      <c r="B17" s="78"/>
      <c r="C17" s="78"/>
      <c r="D17" s="78"/>
      <c r="E17" s="78"/>
      <c r="F17" s="78"/>
    </row>
    <row r="18" spans="1:6" ht="18.75" x14ac:dyDescent="0.25">
      <c r="A18" s="259" t="s">
        <v>267</v>
      </c>
      <c r="B18" s="259"/>
      <c r="C18" s="259"/>
      <c r="D18" s="259"/>
      <c r="E18" s="259"/>
      <c r="F18" s="259"/>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92" t="s">
        <v>460</v>
      </c>
      <c r="C21" s="293"/>
      <c r="D21" s="293"/>
      <c r="E21" s="294"/>
      <c r="F21" s="22"/>
    </row>
    <row r="22" spans="1:6" ht="15.75" x14ac:dyDescent="0.25">
      <c r="A22" s="22"/>
      <c r="B22" s="289" t="s">
        <v>268</v>
      </c>
      <c r="C22" s="290"/>
      <c r="D22" s="290" t="s">
        <v>269</v>
      </c>
      <c r="E22" s="291"/>
      <c r="F22" s="22"/>
    </row>
    <row r="23" spans="1:6" ht="63" x14ac:dyDescent="0.25">
      <c r="A23" s="22"/>
      <c r="B23" s="106" t="s">
        <v>270</v>
      </c>
      <c r="C23" s="107" t="s">
        <v>271</v>
      </c>
      <c r="D23" s="107" t="s">
        <v>272</v>
      </c>
      <c r="E23" s="108" t="s">
        <v>273</v>
      </c>
      <c r="F23" s="22"/>
    </row>
    <row r="24" spans="1:6" ht="16.5" thickBot="1" x14ac:dyDescent="0.3">
      <c r="A24" s="22"/>
      <c r="B24" s="109">
        <v>369.97560310852242</v>
      </c>
      <c r="C24" s="110">
        <v>0.14015041814825269</v>
      </c>
      <c r="D24" s="111">
        <v>7.0629102959491874</v>
      </c>
      <c r="E24" s="112">
        <v>9.9994651046389702</v>
      </c>
      <c r="F24" s="22"/>
    </row>
    <row r="25" spans="1:6" x14ac:dyDescent="0.25">
      <c r="A25" s="22"/>
      <c r="B25" s="22"/>
      <c r="C25" s="22"/>
      <c r="D25" s="22"/>
      <c r="E25" s="22"/>
      <c r="F25" s="22"/>
    </row>
    <row r="26" spans="1:6" ht="15.75" x14ac:dyDescent="0.25">
      <c r="A26" s="22"/>
      <c r="B26" s="288"/>
      <c r="C26" s="288"/>
      <c r="D26" s="288"/>
      <c r="E26" s="288"/>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0" zoomScale="60" zoomScaleNormal="100" workbookViewId="0">
      <selection activeCell="I29" sqref="I29"/>
    </sheetView>
  </sheetViews>
  <sheetFormatPr defaultColWidth="0" defaultRowHeight="15.75" x14ac:dyDescent="0.25"/>
  <cols>
    <col min="1" max="1" width="9.140625" style="45" customWidth="1"/>
    <col min="2" max="2" width="37.7109375" style="45" customWidth="1"/>
    <col min="3" max="3" width="16.28515625" style="45" customWidth="1"/>
    <col min="4" max="4" width="15.28515625" style="45" customWidth="1"/>
    <col min="5" max="5" width="14.5703125" style="45" customWidth="1"/>
    <col min="6" max="6" width="15.5703125" style="45" customWidth="1"/>
    <col min="7" max="8" width="18.28515625" style="96" customWidth="1"/>
    <col min="9" max="9" width="46.140625" style="45" customWidth="1"/>
    <col min="10" max="10" width="32.28515625" style="45" customWidth="1"/>
    <col min="11" max="250" width="9.140625" style="45" customWidth="1"/>
    <col min="251" max="251" width="37.7109375" style="45" customWidth="1"/>
    <col min="252" max="252" width="9.140625" style="45" customWidth="1"/>
    <col min="253" max="253" width="12.85546875" style="45" customWidth="1"/>
    <col min="254" max="16384" width="0" style="45"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36" t="str">
        <f>'1. паспорт местоположение'!$A$5</f>
        <v>Год раскрытия информации: 2025 год</v>
      </c>
      <c r="B5" s="236"/>
      <c r="C5" s="236"/>
      <c r="D5" s="236"/>
      <c r="E5" s="236"/>
      <c r="F5" s="236"/>
      <c r="G5" s="236"/>
      <c r="H5" s="236"/>
      <c r="I5" s="236"/>
      <c r="J5" s="23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row>
    <row r="6" spans="1:42" ht="18.75" x14ac:dyDescent="0.3">
      <c r="I6" s="14"/>
    </row>
    <row r="7" spans="1:42" ht="18.75" x14ac:dyDescent="0.25">
      <c r="A7" s="240" t="s">
        <v>5</v>
      </c>
      <c r="B7" s="240"/>
      <c r="C7" s="240"/>
      <c r="D7" s="240"/>
      <c r="E7" s="240"/>
      <c r="F7" s="240"/>
      <c r="G7" s="240"/>
      <c r="H7" s="240"/>
      <c r="I7" s="240"/>
      <c r="J7" s="240"/>
    </row>
    <row r="8" spans="1:42" ht="18.75" x14ac:dyDescent="0.25">
      <c r="A8" s="240"/>
      <c r="B8" s="240"/>
      <c r="C8" s="240"/>
      <c r="D8" s="240"/>
      <c r="E8" s="240"/>
      <c r="F8" s="240"/>
      <c r="G8" s="240"/>
      <c r="H8" s="240"/>
      <c r="I8" s="240"/>
      <c r="J8" s="240"/>
    </row>
    <row r="9" spans="1:42" x14ac:dyDescent="0.25">
      <c r="A9" s="241" t="s">
        <v>264</v>
      </c>
      <c r="B9" s="241"/>
      <c r="C9" s="241"/>
      <c r="D9" s="241"/>
      <c r="E9" s="241"/>
      <c r="F9" s="241"/>
      <c r="G9" s="241"/>
      <c r="H9" s="241"/>
      <c r="I9" s="241"/>
      <c r="J9" s="241"/>
    </row>
    <row r="10" spans="1:42" x14ac:dyDescent="0.25">
      <c r="A10" s="246" t="s">
        <v>4</v>
      </c>
      <c r="B10" s="246"/>
      <c r="C10" s="246"/>
      <c r="D10" s="246"/>
      <c r="E10" s="246"/>
      <c r="F10" s="246"/>
      <c r="G10" s="246"/>
      <c r="H10" s="246"/>
      <c r="I10" s="246"/>
      <c r="J10" s="246"/>
    </row>
    <row r="11" spans="1:42" ht="18.75" x14ac:dyDescent="0.25">
      <c r="A11" s="240"/>
      <c r="B11" s="240"/>
      <c r="C11" s="240"/>
      <c r="D11" s="240"/>
      <c r="E11" s="240"/>
      <c r="F11" s="240"/>
      <c r="G11" s="240"/>
      <c r="H11" s="240"/>
      <c r="I11" s="240"/>
      <c r="J11" s="240"/>
    </row>
    <row r="12" spans="1:42" x14ac:dyDescent="0.25">
      <c r="A12" s="241" t="str">
        <f>'1. паспорт местоположение'!$A$12</f>
        <v>L_Che370</v>
      </c>
      <c r="B12" s="241"/>
      <c r="C12" s="241"/>
      <c r="D12" s="241"/>
      <c r="E12" s="241"/>
      <c r="F12" s="241"/>
      <c r="G12" s="241"/>
      <c r="H12" s="241"/>
      <c r="I12" s="241"/>
      <c r="J12" s="241"/>
    </row>
    <row r="13" spans="1:42" x14ac:dyDescent="0.25">
      <c r="A13" s="246" t="s">
        <v>3</v>
      </c>
      <c r="B13" s="246"/>
      <c r="C13" s="246"/>
      <c r="D13" s="246"/>
      <c r="E13" s="246"/>
      <c r="F13" s="246"/>
      <c r="G13" s="246"/>
      <c r="H13" s="246"/>
      <c r="I13" s="246"/>
      <c r="J13" s="246"/>
    </row>
    <row r="14" spans="1:42" ht="18.75" x14ac:dyDescent="0.25">
      <c r="A14" s="274"/>
      <c r="B14" s="274"/>
      <c r="C14" s="274"/>
      <c r="D14" s="274"/>
      <c r="E14" s="274"/>
      <c r="F14" s="274"/>
      <c r="G14" s="274"/>
      <c r="H14" s="274"/>
      <c r="I14" s="274"/>
      <c r="J14" s="274"/>
    </row>
    <row r="15" spans="1:42" ht="66.75" customHeight="1" x14ac:dyDescent="0.25">
      <c r="A15" s="247" t="str">
        <f>'1. паспорт местоположение'!$A$15</f>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
      <c r="B15" s="247"/>
      <c r="C15" s="247"/>
      <c r="D15" s="247"/>
      <c r="E15" s="247"/>
      <c r="F15" s="247"/>
      <c r="G15" s="247"/>
      <c r="H15" s="247"/>
      <c r="I15" s="247"/>
      <c r="J15" s="247"/>
    </row>
    <row r="16" spans="1:42" x14ac:dyDescent="0.25">
      <c r="A16" s="246" t="s">
        <v>2</v>
      </c>
      <c r="B16" s="246"/>
      <c r="C16" s="246"/>
      <c r="D16" s="246"/>
      <c r="E16" s="246"/>
      <c r="F16" s="246"/>
      <c r="G16" s="246"/>
      <c r="H16" s="246"/>
      <c r="I16" s="246"/>
      <c r="J16" s="246"/>
    </row>
    <row r="17" spans="1:10" ht="15.75" customHeight="1" x14ac:dyDescent="0.25">
      <c r="J17" s="97"/>
    </row>
    <row r="18" spans="1:10" x14ac:dyDescent="0.25">
      <c r="I18" s="86"/>
    </row>
    <row r="19" spans="1:10" ht="15.75" customHeight="1" x14ac:dyDescent="0.25">
      <c r="A19" s="303" t="s">
        <v>245</v>
      </c>
      <c r="B19" s="303"/>
      <c r="C19" s="303"/>
      <c r="D19" s="303"/>
      <c r="E19" s="303"/>
      <c r="F19" s="303"/>
      <c r="G19" s="303"/>
      <c r="H19" s="303"/>
      <c r="I19" s="303"/>
      <c r="J19" s="303"/>
    </row>
    <row r="20" spans="1:10" x14ac:dyDescent="0.25">
      <c r="A20" s="84"/>
      <c r="B20" s="84"/>
      <c r="C20" s="59"/>
      <c r="D20" s="59"/>
      <c r="E20" s="59"/>
      <c r="F20" s="59"/>
      <c r="G20" s="98"/>
      <c r="H20" s="98"/>
      <c r="I20" s="59"/>
      <c r="J20" s="59"/>
    </row>
    <row r="21" spans="1:10" ht="28.5" customHeight="1" x14ac:dyDescent="0.25">
      <c r="A21" s="295" t="s">
        <v>134</v>
      </c>
      <c r="B21" s="295" t="s">
        <v>133</v>
      </c>
      <c r="C21" s="304" t="s">
        <v>194</v>
      </c>
      <c r="D21" s="304"/>
      <c r="E21" s="304"/>
      <c r="F21" s="304"/>
      <c r="G21" s="301" t="s">
        <v>132</v>
      </c>
      <c r="H21" s="298" t="s">
        <v>196</v>
      </c>
      <c r="I21" s="295" t="s">
        <v>131</v>
      </c>
      <c r="J21" s="305" t="s">
        <v>195</v>
      </c>
    </row>
    <row r="22" spans="1:10" ht="58.5" customHeight="1" x14ac:dyDescent="0.25">
      <c r="A22" s="295"/>
      <c r="B22" s="295"/>
      <c r="C22" s="302" t="s">
        <v>0</v>
      </c>
      <c r="D22" s="302"/>
      <c r="E22" s="296" t="str">
        <f>'6.2. Паспорт фин осв ввод'!D22</f>
        <v>Факт</v>
      </c>
      <c r="F22" s="297"/>
      <c r="G22" s="301"/>
      <c r="H22" s="299"/>
      <c r="I22" s="295"/>
      <c r="J22" s="305"/>
    </row>
    <row r="23" spans="1:10" ht="31.5" x14ac:dyDescent="0.25">
      <c r="A23" s="295"/>
      <c r="B23" s="295"/>
      <c r="C23" s="99" t="s">
        <v>130</v>
      </c>
      <c r="D23" s="99" t="s">
        <v>129</v>
      </c>
      <c r="E23" s="99" t="s">
        <v>130</v>
      </c>
      <c r="F23" s="99" t="s">
        <v>129</v>
      </c>
      <c r="G23" s="301"/>
      <c r="H23" s="300"/>
      <c r="I23" s="295"/>
      <c r="J23" s="305"/>
    </row>
    <row r="24" spans="1:10" x14ac:dyDescent="0.25">
      <c r="A24" s="64">
        <v>1</v>
      </c>
      <c r="B24" s="64">
        <v>2</v>
      </c>
      <c r="C24" s="99">
        <v>3</v>
      </c>
      <c r="D24" s="99">
        <v>4</v>
      </c>
      <c r="E24" s="99">
        <v>7</v>
      </c>
      <c r="F24" s="99">
        <v>8</v>
      </c>
      <c r="G24" s="100">
        <v>9</v>
      </c>
      <c r="H24" s="100">
        <v>10</v>
      </c>
      <c r="I24" s="99">
        <v>11</v>
      </c>
      <c r="J24" s="99">
        <v>12</v>
      </c>
    </row>
    <row r="25" spans="1:10" ht="31.5" x14ac:dyDescent="0.25">
      <c r="A25" s="99">
        <v>1</v>
      </c>
      <c r="B25" s="101" t="s">
        <v>128</v>
      </c>
      <c r="C25" s="224"/>
      <c r="D25" s="224"/>
      <c r="E25" s="224"/>
      <c r="F25" s="224"/>
      <c r="G25" s="225"/>
      <c r="H25" s="153"/>
      <c r="I25" s="102"/>
      <c r="J25" s="42"/>
    </row>
    <row r="26" spans="1:10" ht="21.75" customHeight="1" x14ac:dyDescent="0.25">
      <c r="A26" s="99" t="s">
        <v>127</v>
      </c>
      <c r="B26" s="103" t="s">
        <v>198</v>
      </c>
      <c r="C26" s="226" t="s">
        <v>265</v>
      </c>
      <c r="D26" s="226" t="s">
        <v>265</v>
      </c>
      <c r="E26" s="226" t="s">
        <v>265</v>
      </c>
      <c r="F26" s="226" t="s">
        <v>265</v>
      </c>
      <c r="G26" s="227" t="s">
        <v>294</v>
      </c>
      <c r="H26" s="54" t="s">
        <v>294</v>
      </c>
      <c r="I26" s="102"/>
      <c r="J26" s="102"/>
    </row>
    <row r="27" spans="1:10" s="57" customFormat="1" ht="39" customHeight="1" x14ac:dyDescent="0.25">
      <c r="A27" s="99" t="s">
        <v>126</v>
      </c>
      <c r="B27" s="103" t="s">
        <v>200</v>
      </c>
      <c r="C27" s="226" t="s">
        <v>265</v>
      </c>
      <c r="D27" s="226" t="s">
        <v>265</v>
      </c>
      <c r="E27" s="226" t="s">
        <v>265</v>
      </c>
      <c r="F27" s="226" t="s">
        <v>265</v>
      </c>
      <c r="G27" s="227" t="s">
        <v>294</v>
      </c>
      <c r="H27" s="54" t="s">
        <v>294</v>
      </c>
      <c r="I27" s="102"/>
      <c r="J27" s="102"/>
    </row>
    <row r="28" spans="1:10" s="57" customFormat="1" ht="56.25" customHeight="1" x14ac:dyDescent="0.25">
      <c r="A28" s="99" t="s">
        <v>199</v>
      </c>
      <c r="B28" s="103" t="s">
        <v>204</v>
      </c>
      <c r="C28" s="226" t="s">
        <v>265</v>
      </c>
      <c r="D28" s="226" t="s">
        <v>265</v>
      </c>
      <c r="E28" s="226" t="s">
        <v>265</v>
      </c>
      <c r="F28" s="226" t="s">
        <v>265</v>
      </c>
      <c r="G28" s="227" t="s">
        <v>294</v>
      </c>
      <c r="H28" s="54" t="s">
        <v>294</v>
      </c>
      <c r="I28" s="102"/>
      <c r="J28" s="102"/>
    </row>
    <row r="29" spans="1:10" s="57" customFormat="1" ht="32.25" customHeight="1" x14ac:dyDescent="0.25">
      <c r="A29" s="99" t="s">
        <v>125</v>
      </c>
      <c r="B29" s="103" t="s">
        <v>203</v>
      </c>
      <c r="C29" s="226" t="s">
        <v>265</v>
      </c>
      <c r="D29" s="226" t="s">
        <v>265</v>
      </c>
      <c r="E29" s="226" t="s">
        <v>265</v>
      </c>
      <c r="F29" s="226" t="s">
        <v>265</v>
      </c>
      <c r="G29" s="227" t="s">
        <v>294</v>
      </c>
      <c r="H29" s="54" t="s">
        <v>294</v>
      </c>
      <c r="I29" s="102"/>
      <c r="J29" s="102"/>
    </row>
    <row r="30" spans="1:10" s="57" customFormat="1" ht="42" customHeight="1" x14ac:dyDescent="0.25">
      <c r="A30" s="99" t="s">
        <v>124</v>
      </c>
      <c r="B30" s="103" t="s">
        <v>205</v>
      </c>
      <c r="C30" s="226" t="s">
        <v>265</v>
      </c>
      <c r="D30" s="226" t="s">
        <v>265</v>
      </c>
      <c r="E30" s="226" t="s">
        <v>265</v>
      </c>
      <c r="F30" s="226" t="s">
        <v>265</v>
      </c>
      <c r="G30" s="227" t="s">
        <v>294</v>
      </c>
      <c r="H30" s="54" t="s">
        <v>294</v>
      </c>
      <c r="I30" s="102"/>
      <c r="J30" s="102"/>
    </row>
    <row r="31" spans="1:10" s="57" customFormat="1" ht="37.5" customHeight="1" x14ac:dyDescent="0.25">
      <c r="A31" s="99" t="s">
        <v>123</v>
      </c>
      <c r="B31" s="104" t="s">
        <v>201</v>
      </c>
      <c r="C31" s="228">
        <v>43329</v>
      </c>
      <c r="D31" s="228">
        <v>43329</v>
      </c>
      <c r="E31" s="228">
        <v>43329</v>
      </c>
      <c r="F31" s="228">
        <v>43329</v>
      </c>
      <c r="G31" s="225">
        <v>1</v>
      </c>
      <c r="H31" s="54" t="s">
        <v>294</v>
      </c>
      <c r="I31" s="102"/>
      <c r="J31" s="102"/>
    </row>
    <row r="32" spans="1:10" s="57" customFormat="1" ht="31.5" x14ac:dyDescent="0.25">
      <c r="A32" s="99" t="s">
        <v>121</v>
      </c>
      <c r="B32" s="104" t="s">
        <v>206</v>
      </c>
      <c r="C32" s="228">
        <v>43584</v>
      </c>
      <c r="D32" s="228">
        <v>43584</v>
      </c>
      <c r="E32" s="228">
        <v>43584</v>
      </c>
      <c r="F32" s="228">
        <v>43584</v>
      </c>
      <c r="G32" s="225">
        <v>1</v>
      </c>
      <c r="H32" s="54" t="s">
        <v>294</v>
      </c>
      <c r="I32" s="102"/>
      <c r="J32" s="102"/>
    </row>
    <row r="33" spans="1:10" s="57" customFormat="1" ht="37.5" customHeight="1" x14ac:dyDescent="0.25">
      <c r="A33" s="99" t="s">
        <v>217</v>
      </c>
      <c r="B33" s="104" t="s">
        <v>147</v>
      </c>
      <c r="C33" s="228">
        <v>43803</v>
      </c>
      <c r="D33" s="228">
        <v>43803</v>
      </c>
      <c r="E33" s="228">
        <v>43803</v>
      </c>
      <c r="F33" s="228">
        <v>43803</v>
      </c>
      <c r="G33" s="225">
        <v>1</v>
      </c>
      <c r="H33" s="54" t="s">
        <v>294</v>
      </c>
      <c r="I33" s="102"/>
      <c r="J33" s="102"/>
    </row>
    <row r="34" spans="1:10" s="57" customFormat="1" ht="47.25" customHeight="1" x14ac:dyDescent="0.25">
      <c r="A34" s="99" t="s">
        <v>218</v>
      </c>
      <c r="B34" s="104" t="s">
        <v>210</v>
      </c>
      <c r="C34" s="226" t="s">
        <v>265</v>
      </c>
      <c r="D34" s="226" t="s">
        <v>265</v>
      </c>
      <c r="E34" s="226" t="s">
        <v>265</v>
      </c>
      <c r="F34" s="226" t="s">
        <v>265</v>
      </c>
      <c r="G34" s="227" t="s">
        <v>294</v>
      </c>
      <c r="H34" s="54" t="s">
        <v>294</v>
      </c>
      <c r="I34" s="105"/>
      <c r="J34" s="102"/>
    </row>
    <row r="35" spans="1:10" s="57" customFormat="1" ht="30" customHeight="1" x14ac:dyDescent="0.25">
      <c r="A35" s="99" t="s">
        <v>219</v>
      </c>
      <c r="B35" s="104" t="s">
        <v>122</v>
      </c>
      <c r="C35" s="228">
        <v>43914</v>
      </c>
      <c r="D35" s="228">
        <v>43914</v>
      </c>
      <c r="E35" s="228">
        <v>43914</v>
      </c>
      <c r="F35" s="228">
        <v>43914</v>
      </c>
      <c r="G35" s="225">
        <v>1</v>
      </c>
      <c r="H35" s="54" t="s">
        <v>294</v>
      </c>
      <c r="I35" s="105"/>
      <c r="J35" s="102"/>
    </row>
    <row r="36" spans="1:10" ht="37.5" customHeight="1" x14ac:dyDescent="0.25">
      <c r="A36" s="99" t="s">
        <v>220</v>
      </c>
      <c r="B36" s="104" t="s">
        <v>202</v>
      </c>
      <c r="C36" s="226" t="s">
        <v>265</v>
      </c>
      <c r="D36" s="226" t="s">
        <v>265</v>
      </c>
      <c r="E36" s="226" t="s">
        <v>265</v>
      </c>
      <c r="F36" s="226" t="s">
        <v>265</v>
      </c>
      <c r="G36" s="225"/>
      <c r="H36" s="54" t="s">
        <v>294</v>
      </c>
      <c r="I36" s="102"/>
      <c r="J36" s="102"/>
    </row>
    <row r="37" spans="1:10" ht="20.25" customHeight="1" x14ac:dyDescent="0.25">
      <c r="A37" s="99" t="s">
        <v>221</v>
      </c>
      <c r="B37" s="104" t="s">
        <v>120</v>
      </c>
      <c r="C37" s="228">
        <v>43329</v>
      </c>
      <c r="D37" s="228">
        <v>43584</v>
      </c>
      <c r="E37" s="228">
        <v>43329</v>
      </c>
      <c r="F37" s="228">
        <v>43584</v>
      </c>
      <c r="G37" s="225">
        <v>1</v>
      </c>
      <c r="H37" s="54" t="s">
        <v>294</v>
      </c>
      <c r="I37" s="102"/>
      <c r="J37" s="102"/>
    </row>
    <row r="38" spans="1:10" x14ac:dyDescent="0.25">
      <c r="A38" s="99" t="s">
        <v>222</v>
      </c>
      <c r="B38" s="101" t="s">
        <v>119</v>
      </c>
      <c r="C38" s="229"/>
      <c r="D38" s="230"/>
      <c r="E38" s="229"/>
      <c r="F38" s="230"/>
      <c r="G38" s="231"/>
      <c r="H38" s="54"/>
      <c r="I38" s="102"/>
      <c r="J38" s="102"/>
    </row>
    <row r="39" spans="1:10" ht="53.25" customHeight="1" x14ac:dyDescent="0.25">
      <c r="A39" s="99">
        <v>2</v>
      </c>
      <c r="B39" s="104" t="s">
        <v>207</v>
      </c>
      <c r="C39" s="229">
        <v>44110</v>
      </c>
      <c r="D39" s="229">
        <v>44110</v>
      </c>
      <c r="E39" s="229">
        <v>44110</v>
      </c>
      <c r="F39" s="229">
        <v>44110</v>
      </c>
      <c r="G39" s="225">
        <v>1</v>
      </c>
      <c r="H39" s="54" t="s">
        <v>294</v>
      </c>
      <c r="I39" s="102"/>
      <c r="J39" s="102"/>
    </row>
    <row r="40" spans="1:10" ht="33.75" customHeight="1" x14ac:dyDescent="0.25">
      <c r="A40" s="99" t="s">
        <v>118</v>
      </c>
      <c r="B40" s="104" t="s">
        <v>209</v>
      </c>
      <c r="C40" s="226" t="s">
        <v>294</v>
      </c>
      <c r="D40" s="226" t="s">
        <v>294</v>
      </c>
      <c r="E40" s="226" t="s">
        <v>294</v>
      </c>
      <c r="F40" s="226" t="s">
        <v>294</v>
      </c>
      <c r="G40" s="226" t="s">
        <v>294</v>
      </c>
      <c r="H40" s="54" t="s">
        <v>294</v>
      </c>
      <c r="I40" s="102"/>
      <c r="J40" s="102"/>
    </row>
    <row r="41" spans="1:10" ht="40.5" customHeight="1" x14ac:dyDescent="0.25">
      <c r="A41" s="99">
        <v>3</v>
      </c>
      <c r="B41" s="101" t="s">
        <v>263</v>
      </c>
      <c r="C41" s="232"/>
      <c r="D41" s="233"/>
      <c r="E41" s="232"/>
      <c r="F41" s="233"/>
      <c r="G41" s="231"/>
      <c r="H41" s="54"/>
      <c r="I41" s="102"/>
      <c r="J41" s="102"/>
    </row>
    <row r="42" spans="1:10" ht="35.25" customHeight="1" x14ac:dyDescent="0.25">
      <c r="A42" s="170" t="s">
        <v>117</v>
      </c>
      <c r="B42" s="104" t="s">
        <v>208</v>
      </c>
      <c r="C42" s="232">
        <v>44402</v>
      </c>
      <c r="D42" s="233">
        <v>44920</v>
      </c>
      <c r="E42" s="232">
        <v>44402</v>
      </c>
      <c r="F42" s="233">
        <v>44920</v>
      </c>
      <c r="G42" s="225">
        <v>1</v>
      </c>
      <c r="H42" s="54" t="s">
        <v>294</v>
      </c>
      <c r="I42" s="102"/>
      <c r="J42" s="102"/>
    </row>
    <row r="43" spans="1:10" ht="29.25" customHeight="1" x14ac:dyDescent="0.25">
      <c r="A43" s="170" t="s">
        <v>116</v>
      </c>
      <c r="B43" s="104" t="s">
        <v>115</v>
      </c>
      <c r="C43" s="232">
        <v>44418</v>
      </c>
      <c r="D43" s="233">
        <v>44920</v>
      </c>
      <c r="E43" s="232">
        <v>44418</v>
      </c>
      <c r="F43" s="233">
        <v>44920</v>
      </c>
      <c r="G43" s="225">
        <v>1</v>
      </c>
      <c r="H43" s="54" t="s">
        <v>294</v>
      </c>
      <c r="I43" s="102"/>
      <c r="J43" s="102"/>
    </row>
    <row r="44" spans="1:10" ht="24.75" customHeight="1" x14ac:dyDescent="0.25">
      <c r="A44" s="170" t="s">
        <v>114</v>
      </c>
      <c r="B44" s="104" t="s">
        <v>113</v>
      </c>
      <c r="C44" s="232">
        <v>44348</v>
      </c>
      <c r="D44" s="233">
        <v>45240</v>
      </c>
      <c r="E44" s="232">
        <v>44348</v>
      </c>
      <c r="F44" s="233">
        <v>45240</v>
      </c>
      <c r="G44" s="225">
        <v>1</v>
      </c>
      <c r="H44" s="54" t="s">
        <v>294</v>
      </c>
      <c r="I44" s="102"/>
      <c r="J44" s="102"/>
    </row>
    <row r="45" spans="1:10" ht="90.75" customHeight="1" x14ac:dyDescent="0.25">
      <c r="A45" s="170" t="s">
        <v>112</v>
      </c>
      <c r="B45" s="104" t="s">
        <v>213</v>
      </c>
      <c r="C45" s="232" t="s">
        <v>265</v>
      </c>
      <c r="D45" s="233" t="s">
        <v>265</v>
      </c>
      <c r="E45" s="232" t="s">
        <v>265</v>
      </c>
      <c r="F45" s="233" t="s">
        <v>265</v>
      </c>
      <c r="G45" s="225" t="s">
        <v>294</v>
      </c>
      <c r="H45" s="54" t="s">
        <v>294</v>
      </c>
      <c r="I45" s="102"/>
      <c r="J45" s="102"/>
    </row>
    <row r="46" spans="1:10" ht="167.25" customHeight="1" x14ac:dyDescent="0.25">
      <c r="A46" s="170" t="s">
        <v>110</v>
      </c>
      <c r="B46" s="104" t="s">
        <v>211</v>
      </c>
      <c r="C46" s="232" t="s">
        <v>265</v>
      </c>
      <c r="D46" s="233" t="s">
        <v>265</v>
      </c>
      <c r="E46" s="232" t="s">
        <v>265</v>
      </c>
      <c r="F46" s="233" t="s">
        <v>265</v>
      </c>
      <c r="G46" s="225" t="s">
        <v>294</v>
      </c>
      <c r="H46" s="54" t="s">
        <v>294</v>
      </c>
      <c r="I46" s="102"/>
      <c r="J46" s="102"/>
    </row>
    <row r="47" spans="1:10" ht="30.75" customHeight="1" x14ac:dyDescent="0.25">
      <c r="A47" s="170" t="s">
        <v>461</v>
      </c>
      <c r="B47" s="104" t="s">
        <v>111</v>
      </c>
      <c r="C47" s="229" t="s">
        <v>793</v>
      </c>
      <c r="D47" s="229">
        <v>45276</v>
      </c>
      <c r="E47" s="229" t="s">
        <v>793</v>
      </c>
      <c r="F47" s="229">
        <v>45276</v>
      </c>
      <c r="G47" s="225">
        <v>1</v>
      </c>
      <c r="H47" s="54" t="s">
        <v>294</v>
      </c>
      <c r="I47" s="102"/>
      <c r="J47" s="102"/>
    </row>
    <row r="48" spans="1:10" ht="37.5" customHeight="1" x14ac:dyDescent="0.25">
      <c r="A48" s="170">
        <v>4</v>
      </c>
      <c r="B48" s="50" t="s">
        <v>109</v>
      </c>
      <c r="C48" s="229"/>
      <c r="D48" s="230"/>
      <c r="E48" s="229"/>
      <c r="F48" s="230"/>
      <c r="G48" s="231"/>
      <c r="H48" s="54"/>
      <c r="I48" s="102"/>
      <c r="J48" s="102"/>
    </row>
    <row r="49" spans="1:10" ht="35.25" customHeight="1" x14ac:dyDescent="0.25">
      <c r="A49" s="170" t="s">
        <v>108</v>
      </c>
      <c r="B49" s="53" t="s">
        <v>107</v>
      </c>
      <c r="C49" s="229">
        <v>45277</v>
      </c>
      <c r="D49" s="229">
        <v>45288</v>
      </c>
      <c r="E49" s="229">
        <v>45277</v>
      </c>
      <c r="F49" s="229">
        <v>45288</v>
      </c>
      <c r="G49" s="225">
        <v>1</v>
      </c>
      <c r="H49" s="54" t="s">
        <v>294</v>
      </c>
      <c r="I49" s="102"/>
      <c r="J49" s="102"/>
    </row>
    <row r="50" spans="1:10" ht="86.25" customHeight="1" x14ac:dyDescent="0.25">
      <c r="A50" s="170" t="s">
        <v>106</v>
      </c>
      <c r="B50" s="53" t="s">
        <v>212</v>
      </c>
      <c r="C50" s="229">
        <v>45289</v>
      </c>
      <c r="D50" s="229">
        <v>45289</v>
      </c>
      <c r="E50" s="229">
        <v>45289</v>
      </c>
      <c r="F50" s="229">
        <v>45289</v>
      </c>
      <c r="G50" s="225">
        <v>1</v>
      </c>
      <c r="H50" s="54" t="s">
        <v>294</v>
      </c>
      <c r="I50" s="102"/>
      <c r="J50" s="102"/>
    </row>
    <row r="51" spans="1:10" ht="77.25" customHeight="1" x14ac:dyDescent="0.25">
      <c r="A51" s="170" t="s">
        <v>104</v>
      </c>
      <c r="B51" s="53" t="s">
        <v>214</v>
      </c>
      <c r="C51" s="229">
        <v>45289</v>
      </c>
      <c r="D51" s="229">
        <v>45289</v>
      </c>
      <c r="E51" s="229">
        <v>45289</v>
      </c>
      <c r="F51" s="229">
        <v>45289</v>
      </c>
      <c r="G51" s="225">
        <v>1</v>
      </c>
      <c r="H51" s="54" t="s">
        <v>294</v>
      </c>
      <c r="I51" s="102"/>
      <c r="J51" s="102"/>
    </row>
    <row r="52" spans="1:10" ht="71.25" customHeight="1" x14ac:dyDescent="0.25">
      <c r="A52" s="170" t="s">
        <v>102</v>
      </c>
      <c r="B52" s="53" t="s">
        <v>105</v>
      </c>
      <c r="C52" s="229" t="s">
        <v>265</v>
      </c>
      <c r="D52" s="230" t="s">
        <v>265</v>
      </c>
      <c r="E52" s="229" t="s">
        <v>265</v>
      </c>
      <c r="F52" s="230" t="s">
        <v>265</v>
      </c>
      <c r="G52" s="225" t="s">
        <v>294</v>
      </c>
      <c r="H52" s="54" t="s">
        <v>294</v>
      </c>
      <c r="I52" s="102"/>
      <c r="J52" s="102"/>
    </row>
    <row r="53" spans="1:10" ht="36" customHeight="1" x14ac:dyDescent="0.25">
      <c r="A53" s="170" t="s">
        <v>216</v>
      </c>
      <c r="B53" s="169" t="s">
        <v>215</v>
      </c>
      <c r="C53" s="229">
        <v>45289</v>
      </c>
      <c r="D53" s="229">
        <v>45289</v>
      </c>
      <c r="E53" s="229">
        <v>45289</v>
      </c>
      <c r="F53" s="229">
        <v>45289</v>
      </c>
      <c r="G53" s="225">
        <v>1</v>
      </c>
      <c r="H53" s="54" t="s">
        <v>294</v>
      </c>
      <c r="I53" s="102"/>
      <c r="J53" s="102"/>
    </row>
    <row r="54" spans="1:10" ht="36" customHeight="1" x14ac:dyDescent="0.25">
      <c r="A54" s="170" t="s">
        <v>462</v>
      </c>
      <c r="B54" s="53" t="s">
        <v>103</v>
      </c>
      <c r="C54" s="229" t="s">
        <v>265</v>
      </c>
      <c r="D54" s="230" t="s">
        <v>265</v>
      </c>
      <c r="E54" s="229" t="s">
        <v>265</v>
      </c>
      <c r="F54" s="230" t="s">
        <v>265</v>
      </c>
      <c r="G54" s="225" t="s">
        <v>294</v>
      </c>
      <c r="H54" s="54" t="s">
        <v>294</v>
      </c>
      <c r="I54" s="102"/>
      <c r="J54" s="102"/>
    </row>
  </sheetData>
  <mergeCells count="2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 ref="A5:J5"/>
    <mergeCell ref="A7:J7"/>
    <mergeCell ref="A9:J9"/>
    <mergeCell ref="A10:J10"/>
    <mergeCell ref="A12:J12"/>
    <mergeCell ref="A8:J8"/>
    <mergeCell ref="A11:J11"/>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2025-03-12T09:31:39Z</dcterms:modified>
</cp:coreProperties>
</file>