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935" yWindow="120" windowWidth="26910" windowHeight="12615" tabRatio="760" firstSheet="9" activeTab="1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ПС'!$A$2:$T$75</definedName>
    <definedName name="_xlnm.Print_Area" localSheetId="3">'3.2 паспорт Техсостояние ЛЭП'!$A$1:$AA$85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график'!$A$1:$L$54</definedName>
    <definedName name="_xlnm.Print_Area" localSheetId="9">'6.2. Паспорт фин осв ввод'!$A$1:$K$63</definedName>
    <definedName name="_xlnm.Print_Area" localSheetId="11">'8. Общие сведения'!$A$1:$B$92</definedName>
  </definedNames>
  <calcPr calcId="162913"/>
</workbook>
</file>

<file path=xl/calcChain.xml><?xml version="1.0" encoding="utf-8"?>
<calcChain xmlns="http://schemas.openxmlformats.org/spreadsheetml/2006/main">
  <c r="B35" i="22" l="1"/>
  <c r="A5" i="7" l="1"/>
  <c r="B30" i="22" l="1"/>
  <c r="B53" i="22" l="1"/>
  <c r="B48" i="22"/>
  <c r="B43" i="22"/>
  <c r="B33" i="22"/>
  <c r="B58" i="22" l="1"/>
  <c r="B57" i="22" l="1"/>
  <c r="C69" i="22" s="1"/>
  <c r="C67" i="22" l="1"/>
  <c r="A11" i="24"/>
  <c r="A4" i="24"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86" i="22" l="1"/>
  <c r="B22" i="22"/>
  <c r="B23" i="22" l="1"/>
  <c r="D22" i="24" l="1"/>
  <c r="B29" i="22" l="1"/>
  <c r="C56" i="28" l="1"/>
  <c r="G54" i="28"/>
  <c r="C53" i="28"/>
  <c r="G50" i="28"/>
  <c r="C49" i="28"/>
  <c r="C46" i="28"/>
  <c r="G44" i="28"/>
  <c r="C42" i="28"/>
  <c r="C40" i="28"/>
  <c r="G38" i="28"/>
  <c r="G33" i="28"/>
  <c r="E33" i="28" s="1"/>
  <c r="C32" i="28"/>
  <c r="G30" i="28"/>
  <c r="C30" i="28"/>
  <c r="C49" i="7" s="1"/>
  <c r="J28" i="28"/>
  <c r="K28" i="28" s="1"/>
  <c r="G26" i="28"/>
  <c r="D26" i="28" s="1"/>
  <c r="G24" i="28"/>
  <c r="J26" i="28"/>
  <c r="G61" i="28"/>
  <c r="G57" i="28"/>
  <c r="C36" i="28"/>
  <c r="C31" i="28"/>
  <c r="H26" i="28"/>
  <c r="G64" i="28"/>
  <c r="G62" i="28"/>
  <c r="G60" i="28"/>
  <c r="C57" i="28"/>
  <c r="G55" i="28"/>
  <c r="G52" i="28"/>
  <c r="G48" i="28"/>
  <c r="C47" i="28"/>
  <c r="G45" i="28"/>
  <c r="C44" i="28"/>
  <c r="F44" i="28" s="1"/>
  <c r="E44" i="28" s="1"/>
  <c r="G41" i="28"/>
  <c r="G39" i="28"/>
  <c r="C37" i="28"/>
  <c r="F37" i="28" s="1"/>
  <c r="E37" i="28" s="1"/>
  <c r="G34" i="28"/>
  <c r="C33" i="28"/>
  <c r="H28" i="28"/>
  <c r="G27" i="28"/>
  <c r="J25" i="28"/>
  <c r="G63" i="28"/>
  <c r="C55" i="28"/>
  <c r="C52" i="28"/>
  <c r="F52" i="28" s="1"/>
  <c r="E52" i="28" s="1"/>
  <c r="G49" i="28"/>
  <c r="G47" i="28"/>
  <c r="G40" i="28"/>
  <c r="G32" i="28"/>
  <c r="E32" i="28" s="1"/>
  <c r="G29" i="28"/>
  <c r="G25" i="28"/>
  <c r="D25" i="28" s="1"/>
  <c r="G56" i="28"/>
  <c r="C54" i="28"/>
  <c r="F54" i="28" s="1"/>
  <c r="E54" i="28" s="1"/>
  <c r="C50" i="28"/>
  <c r="C48" i="28"/>
  <c r="F48" i="28" s="1"/>
  <c r="E48" i="28" s="1"/>
  <c r="G46" i="28"/>
  <c r="G42" i="28"/>
  <c r="C41" i="28"/>
  <c r="F41" i="28" s="1"/>
  <c r="E41" i="28" s="1"/>
  <c r="C38" i="28"/>
  <c r="F38" i="28" s="1"/>
  <c r="E38" i="28" s="1"/>
  <c r="G36" i="28"/>
  <c r="C34" i="28"/>
  <c r="G31" i="28"/>
  <c r="E31" i="28" s="1"/>
  <c r="G28" i="28"/>
  <c r="H25" i="28"/>
  <c r="G53" i="28"/>
  <c r="C45" i="28"/>
  <c r="C39" i="28"/>
  <c r="F39" i="28" s="1"/>
  <c r="E39" i="28" s="1"/>
  <c r="G37" i="28"/>
  <c r="F55" i="28" l="1"/>
  <c r="E55" i="28" s="1"/>
  <c r="F47" i="28"/>
  <c r="E47" i="28" s="1"/>
  <c r="F57" i="28"/>
  <c r="E57" i="28" s="1"/>
  <c r="F53" i="28"/>
  <c r="E53" i="28" s="1"/>
  <c r="F46" i="28"/>
  <c r="E46" i="28" s="1"/>
  <c r="F42" i="28"/>
  <c r="E42" i="28" s="1"/>
  <c r="F45" i="28"/>
  <c r="E45" i="28" s="1"/>
  <c r="F50" i="28"/>
  <c r="E50" i="28" s="1"/>
  <c r="F36" i="28"/>
  <c r="E36" i="28" s="1"/>
  <c r="F40" i="28"/>
  <c r="E40" i="28" s="1"/>
  <c r="F49" i="28"/>
  <c r="E49" i="28" s="1"/>
  <c r="F56" i="28"/>
  <c r="E56" i="28" s="1"/>
  <c r="I25" i="28"/>
  <c r="C25" i="28"/>
  <c r="D28" i="28"/>
  <c r="E28" i="28"/>
  <c r="E29" i="28"/>
  <c r="K25" i="28"/>
  <c r="F25" i="28"/>
  <c r="E25" i="28" s="1"/>
  <c r="I28" i="28"/>
  <c r="C28" i="28"/>
  <c r="I26" i="28"/>
  <c r="C26" i="28"/>
  <c r="K26" i="28"/>
  <c r="F26" i="28"/>
  <c r="E26" i="28" s="1"/>
  <c r="A15" i="7" l="1"/>
  <c r="A15" i="6" l="1"/>
  <c r="A14" i="28"/>
  <c r="A15" i="22"/>
  <c r="A15" i="16"/>
  <c r="C15" i="27"/>
  <c r="B21" i="22"/>
  <c r="O17" i="29"/>
  <c r="A14" i="24"/>
  <c r="E14" i="26"/>
  <c r="E15" i="14"/>
  <c r="A15" i="23"/>
  <c r="A16" i="25"/>
  <c r="I30" i="28" l="1"/>
  <c r="B25" i="22" l="1"/>
  <c r="E30" i="28" l="1"/>
  <c r="F30" i="28"/>
  <c r="F34" i="28" s="1"/>
  <c r="E34" i="28" s="1"/>
  <c r="K24" i="28" l="1"/>
  <c r="H27" i="28" l="1"/>
  <c r="I27" i="28" s="1"/>
  <c r="D24" i="28" l="1"/>
  <c r="B67" i="22" s="1"/>
  <c r="D67" i="22" l="1"/>
  <c r="J27" i="28"/>
  <c r="J24" i="28"/>
  <c r="K27" i="28" l="1"/>
  <c r="D27" i="28"/>
  <c r="J29" i="28"/>
  <c r="K29" i="28" l="1"/>
  <c r="D29" i="28"/>
  <c r="D30" i="28" l="1"/>
  <c r="B69" i="22" s="1"/>
  <c r="D69" i="22" l="1"/>
  <c r="B68" i="22"/>
  <c r="D38" i="28" l="1"/>
  <c r="D55" i="28"/>
  <c r="D46" i="28"/>
  <c r="D52" i="28" l="1"/>
  <c r="D56" i="28" l="1"/>
  <c r="E25" i="6" s="1"/>
  <c r="D47" i="28"/>
  <c r="D39" i="28"/>
  <c r="D37" i="28"/>
  <c r="D54" i="28"/>
  <c r="D25" i="6" s="1"/>
  <c r="D45" i="28"/>
  <c r="D50" i="28"/>
  <c r="D57" i="28"/>
  <c r="D42" i="28"/>
  <c r="H30" i="28" l="1"/>
  <c r="H34" i="28" s="1"/>
  <c r="H24" i="28" l="1"/>
  <c r="E24" i="28" l="1"/>
  <c r="F24" i="28"/>
  <c r="F27" i="28" s="1"/>
  <c r="E27" i="28" s="1"/>
  <c r="C24" i="28"/>
  <c r="I24" i="28"/>
  <c r="H29" i="28"/>
  <c r="C29" i="28" l="1"/>
  <c r="C27" i="28" s="1"/>
  <c r="I29" i="28"/>
  <c r="C48" i="7"/>
  <c r="B27" i="22"/>
  <c r="B34" i="22" l="1"/>
  <c r="B63" i="22" s="1"/>
  <c r="B44" i="22"/>
  <c r="B65" i="22" s="1"/>
  <c r="B61" i="22" s="1"/>
  <c r="B66" i="22"/>
  <c r="K63" i="28" l="1"/>
  <c r="K61" i="28"/>
  <c r="J63" i="28" l="1"/>
  <c r="J61" i="28"/>
  <c r="I60" i="28"/>
  <c r="K62" i="28"/>
  <c r="I62" i="28"/>
  <c r="K60" i="28" l="1"/>
  <c r="K64" i="28"/>
  <c r="J60" i="28"/>
  <c r="J62" i="28"/>
  <c r="C63" i="28" l="1"/>
  <c r="H60" i="28"/>
  <c r="C61" i="28"/>
  <c r="H62" i="28"/>
  <c r="J64" i="28"/>
  <c r="H49" i="28" l="1"/>
  <c r="H41" i="28"/>
  <c r="J48" i="28"/>
  <c r="J40" i="28"/>
  <c r="K48" i="28"/>
  <c r="K40" i="28"/>
  <c r="K47" i="28"/>
  <c r="K39" i="28"/>
  <c r="H39" i="28"/>
  <c r="H47" i="28"/>
  <c r="H48" i="28"/>
  <c r="H40" i="28"/>
  <c r="J49" i="28"/>
  <c r="J41" i="28"/>
  <c r="K41" i="28"/>
  <c r="K49" i="28"/>
  <c r="I39" i="28" l="1"/>
  <c r="I47" i="28"/>
  <c r="I41" i="28"/>
  <c r="I49" i="28"/>
  <c r="I40" i="28"/>
  <c r="I48" i="28"/>
  <c r="K30" i="28" l="1"/>
  <c r="J33" i="28"/>
  <c r="K33" i="28" s="1"/>
  <c r="J31" i="28"/>
  <c r="K31" i="28" s="1"/>
  <c r="J32" i="28"/>
  <c r="K32" i="28" s="1"/>
  <c r="K56" i="28" l="1"/>
  <c r="K52" i="28"/>
  <c r="K53" i="28" l="1"/>
  <c r="K44" i="28"/>
  <c r="K36" i="28"/>
  <c r="K50" i="28"/>
  <c r="K57" i="28"/>
  <c r="K46" i="28"/>
  <c r="K38" i="28"/>
  <c r="K55" i="28"/>
  <c r="K37" i="28"/>
  <c r="K45" i="28"/>
  <c r="K54" i="28"/>
  <c r="J36" i="28"/>
  <c r="J53" i="28"/>
  <c r="J44" i="28"/>
  <c r="K42" i="28"/>
  <c r="I38" i="28" l="1"/>
  <c r="I55" i="28"/>
  <c r="I46" i="28"/>
  <c r="I45" i="28"/>
  <c r="I37" i="28"/>
  <c r="I54" i="28"/>
  <c r="I64" i="28"/>
  <c r="I61" i="28"/>
  <c r="H61" i="28"/>
  <c r="I44" i="28" l="1"/>
  <c r="I36" i="28"/>
  <c r="I53" i="28"/>
  <c r="C60" i="28"/>
  <c r="C64" i="28" l="1"/>
  <c r="H64" i="28"/>
  <c r="J34" i="28" l="1"/>
  <c r="K34" i="28" s="1"/>
  <c r="J46" i="28" l="1"/>
  <c r="J38" i="28"/>
  <c r="J55" i="28"/>
  <c r="J47" i="28" l="1"/>
  <c r="J39" i="28"/>
  <c r="J56" i="28" l="1"/>
  <c r="J37" i="28" l="1"/>
  <c r="J54" i="28"/>
  <c r="J45" i="28"/>
  <c r="J42" i="28"/>
  <c r="J50" i="28"/>
  <c r="J57" i="28"/>
  <c r="J52" i="28" l="1"/>
  <c r="J30" i="28" l="1"/>
  <c r="H45" i="28" l="1"/>
  <c r="H54" i="28"/>
  <c r="H37" i="28"/>
  <c r="H44" i="28" l="1"/>
  <c r="H36" i="28"/>
  <c r="H53" i="28"/>
  <c r="H46" i="28"/>
  <c r="H55" i="28"/>
  <c r="H38" i="28"/>
  <c r="I56" i="28" l="1"/>
  <c r="I63" i="28"/>
  <c r="I52" i="28"/>
  <c r="I42" i="28" l="1"/>
  <c r="H52" i="28"/>
  <c r="H56" i="28"/>
  <c r="C62" i="28" l="1"/>
  <c r="H63" i="28"/>
  <c r="H42" i="28"/>
  <c r="H57" i="28"/>
  <c r="H50" i="28"/>
  <c r="I50" i="28"/>
  <c r="I57" i="28"/>
</calcChain>
</file>

<file path=xl/sharedStrings.xml><?xml version="1.0" encoding="utf-8"?>
<sst xmlns="http://schemas.openxmlformats.org/spreadsheetml/2006/main" count="2695" uniqueCount="677">
  <si>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</si>
  <si>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</si>
  <si>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</si>
  <si>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</si>
  <si>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</si>
  <si>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</si>
  <si>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</si>
  <si>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</si>
  <si>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</si>
  <si>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</si>
  <si>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</si>
  <si>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</si>
  <si>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</si>
  <si>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</si>
  <si>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</si>
  <si>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</si>
  <si>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</si>
  <si>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</si>
  <si>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</si>
  <si>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</si>
  <si>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</si>
  <si>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</si>
  <si>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</si>
  <si>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</si>
  <si>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</si>
  <si>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</si>
  <si>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</si>
  <si>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</si>
  <si>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</si>
  <si>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</si>
  <si>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</si>
  <si>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</si>
  <si>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</si>
  <si>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</si>
  <si>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</si>
  <si>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</si>
  <si>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</si>
  <si>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</si>
  <si>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</si>
  <si>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</si>
  <si>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</si>
  <si>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</si>
  <si>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</si>
  <si>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</si>
  <si>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</si>
  <si>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</si>
  <si>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</si>
  <si>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</si>
  <si>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</si>
  <si>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</si>
  <si>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</si>
  <si>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</si>
  <si>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</si>
  <si>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</si>
  <si>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</si>
  <si>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</si>
  <si>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</si>
  <si>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</si>
  <si>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</si>
  <si>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</si>
  <si>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</si>
  <si>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</si>
  <si>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</si>
  <si>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</si>
  <si>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</si>
  <si>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</si>
  <si>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</si>
  <si>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</si>
  <si>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</si>
  <si>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</si>
  <si>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</si>
  <si>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</si>
  <si>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</si>
  <si>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</si>
  <si>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</si>
  <si>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</si>
  <si>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</si>
  <si>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</si>
  <si>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</si>
  <si>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</si>
  <si>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</si>
  <si>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</si>
  <si>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</si>
  <si>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</si>
  <si>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</si>
  <si>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</si>
  <si>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</si>
  <si>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</si>
  <si>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</si>
  <si>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</si>
  <si>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</si>
  <si>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</si>
  <si>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</si>
  <si>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</si>
  <si>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</si>
  <si>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</si>
  <si>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</si>
  <si>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</si>
  <si>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</si>
  <si>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</si>
  <si>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</si>
  <si>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</si>
  <si>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</si>
  <si>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</si>
  <si>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</si>
  <si>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</si>
  <si>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</si>
  <si>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</si>
  <si>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</si>
  <si>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</si>
  <si>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</si>
  <si>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</si>
  <si>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</si>
  <si>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</si>
  <si>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</si>
  <si>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</si>
  <si>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</si>
  <si>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</si>
  <si>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</si>
  <si>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</si>
  <si>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</si>
  <si>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</si>
  <si>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</si>
  <si>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</si>
  <si>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</si>
  <si>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</si>
  <si>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</si>
  <si>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</si>
  <si>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</si>
  <si>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</si>
  <si>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</si>
  <si>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</si>
  <si>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</si>
  <si>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</si>
  <si>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</si>
  <si>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</si>
  <si>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</si>
  <si>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</si>
  <si>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</si>
  <si>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</si>
  <si>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</si>
  <si>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</si>
  <si>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</si>
  <si>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</si>
  <si>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</si>
  <si>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</si>
  <si>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</si>
  <si>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</si>
  <si>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</si>
  <si>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</si>
  <si>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</si>
  <si>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</si>
  <si>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</si>
  <si>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</si>
  <si>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</si>
  <si>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</si>
  <si>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</si>
  <si>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</si>
  <si>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</si>
  <si>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</si>
  <si>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</si>
  <si>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</si>
  <si>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</si>
  <si>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</si>
  <si>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</si>
  <si>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</si>
  <si>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</si>
  <si>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</si>
  <si>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</si>
  <si>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</si>
  <si>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</si>
  <si>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</si>
  <si>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</si>
  <si>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</si>
  <si>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</si>
  <si>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</si>
  <si>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</si>
  <si>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</si>
  <si>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</si>
  <si>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</si>
  <si>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</si>
  <si>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</si>
  <si>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</si>
  <si>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</si>
  <si>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</si>
  <si>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</si>
  <si>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</si>
  <si>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</si>
  <si>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</si>
  <si>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</si>
  <si>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</si>
  <si>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</si>
  <si>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</si>
  <si>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</si>
  <si>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</si>
  <si>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</si>
  <si>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</si>
  <si>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</si>
  <si>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</si>
  <si>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</si>
  <si>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</si>
  <si>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</si>
  <si>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</si>
  <si>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</si>
  <si>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</si>
  <si>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</si>
  <si>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</si>
  <si>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</si>
  <si>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</si>
  <si>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</si>
  <si>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</si>
  <si>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</si>
  <si>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</si>
  <si>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</si>
  <si>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</si>
  <si>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</si>
  <si>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</si>
  <si>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</si>
  <si>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</si>
  <si>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</si>
  <si>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</si>
  <si>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</si>
  <si>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</si>
  <si>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</si>
  <si>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</si>
  <si>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</si>
  <si>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</si>
  <si>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</si>
  <si>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</si>
  <si>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</si>
  <si>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</si>
  <si>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</si>
  <si>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</si>
  <si>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</si>
  <si>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</si>
  <si>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</si>
  <si>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</si>
  <si>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</si>
  <si>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</si>
  <si>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</si>
  <si>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</si>
  <si>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</si>
  <si>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</si>
  <si>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</si>
  <si>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</si>
  <si>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</si>
  <si>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</si>
  <si>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</si>
  <si>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</si>
  <si>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</si>
  <si>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</si>
  <si>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</si>
  <si>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</si>
  <si>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</si>
  <si>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</si>
  <si>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</si>
  <si>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</si>
  <si>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</si>
  <si>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</si>
  <si>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</si>
  <si>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</si>
  <si>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</si>
  <si>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</si>
  <si>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</si>
  <si>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</si>
  <si>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</si>
  <si>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</si>
  <si>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</si>
  <si>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</si>
  <si>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</si>
  <si>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</si>
  <si>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</si>
  <si>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</si>
  <si>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</si>
  <si>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</si>
  <si>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</si>
  <si>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</si>
  <si>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</si>
  <si>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</si>
  <si>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</si>
  <si>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</si>
  <si>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</si>
  <si>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</si>
  <si>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</si>
  <si>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</si>
  <si>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</si>
  <si>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</si>
  <si>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</si>
  <si>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</si>
  <si>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</si>
  <si>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</si>
  <si>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</si>
  <si>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</si>
  <si>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</si>
  <si>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</si>
  <si>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</si>
  <si>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</si>
  <si>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</si>
  <si>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</si>
  <si>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</si>
  <si>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</si>
  <si>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</si>
  <si>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</si>
  <si>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</si>
  <si>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</si>
  <si>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</si>
  <si>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</si>
  <si>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</si>
  <si>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</si>
  <si>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</si>
  <si>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</si>
  <si>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</si>
  <si>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</si>
  <si>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</si>
  <si>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</si>
  <si>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</si>
  <si>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</si>
  <si>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</si>
  <si>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</si>
  <si>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</si>
  <si>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</si>
  <si>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</si>
  <si>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</si>
  <si>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</si>
  <si>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</si>
  <si>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</si>
  <si>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</si>
  <si>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</si>
  <si>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</si>
  <si>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</si>
  <si>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</si>
  <si>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</si>
  <si>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</si>
  <si>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</si>
  <si>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</si>
  <si>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</si>
  <si>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</si>
  <si>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</si>
  <si>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</si>
  <si>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</si>
  <si>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</si>
  <si>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</si>
  <si>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</si>
  <si>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</si>
  <si>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</si>
  <si>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</si>
  <si>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</si>
  <si>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</si>
  <si>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</si>
  <si>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</si>
  <si>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</si>
  <si>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</si>
  <si>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</si>
  <si>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</si>
  <si>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</si>
  <si>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</si>
  <si>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</si>
  <si>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</si>
  <si>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</si>
  <si>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</si>
  <si>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</si>
  <si>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</si>
  <si>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</si>
  <si>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</si>
  <si>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</si>
  <si>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</si>
  <si>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</si>
  <si>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</si>
  <si>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</si>
  <si>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</si>
  <si>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</si>
  <si>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</si>
  <si>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</si>
  <si>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</si>
  <si>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</si>
  <si>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</si>
  <si>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</si>
  <si>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</si>
  <si>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</si>
  <si>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</si>
  <si>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</si>
  <si>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</si>
  <si>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</si>
  <si>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</si>
  <si>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</si>
  <si>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</si>
  <si>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</si>
  <si>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</si>
  <si>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</si>
  <si>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</si>
  <si>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</si>
  <si>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</si>
  <si>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</si>
  <si>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</si>
  <si>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</si>
  <si>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</si>
  <si>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</si>
  <si>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</si>
  <si>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</si>
  <si>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</si>
  <si>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</si>
  <si>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</si>
  <si>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</si>
  <si>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</si>
  <si>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</si>
  <si>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</si>
  <si>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</si>
  <si>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</si>
  <si>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</si>
  <si>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</si>
  <si>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</si>
  <si>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</si>
  <si>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</si>
  <si>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</si>
  <si>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</si>
  <si>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</si>
  <si>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</si>
  <si>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</si>
  <si>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</si>
  <si>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</si>
  <si>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</si>
  <si>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</si>
  <si>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</si>
  <si>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</si>
  <si>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</si>
  <si>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</si>
  <si>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</si>
  <si>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</si>
  <si>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</si>
  <si>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</si>
  <si>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</si>
  <si>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</si>
  <si>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</si>
  <si>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</si>
  <si>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</si>
  <si>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</si>
  <si>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</si>
  <si>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</si>
  <si>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</si>
  <si>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</si>
  <si>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</si>
  <si>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</si>
  <si>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</si>
  <si>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</si>
  <si>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</si>
  <si>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</si>
  <si>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</si>
  <si>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</si>
  <si>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</si>
  <si>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</si>
  <si>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</si>
  <si>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</si>
  <si>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</si>
  <si>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</si>
  <si>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</si>
  <si>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</si>
  <si>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</si>
  <si>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</si>
  <si>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</si>
  <si>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</si>
  <si>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</si>
  <si>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</si>
  <si>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строительство и реконструкция</t>
  </si>
  <si>
    <t>ПАО "МРСК Северного Кавказа"</t>
  </si>
  <si>
    <t>Локально-сметные расчеты</t>
  </si>
  <si>
    <t>Конкурс</t>
  </si>
  <si>
    <t>ООО РСФ "МИР"                  ООО "Росэнергопроект"</t>
  </si>
  <si>
    <t>117950,43 118 033,76</t>
  </si>
  <si>
    <t>ООО "Росэнергопроект"</t>
  </si>
  <si>
    <t xml:space="preserve">ООО РСФ "МИР"     </t>
  </si>
  <si>
    <t xml:space="preserve">B2B-Center </t>
  </si>
  <si>
    <t>СМР, оборудование, прочие</t>
  </si>
  <si>
    <t xml:space="preserve">ООО «НИЙСО и К»                   ООО "ТЕПЛИЦСТРОЙСЕРВИС"   </t>
  </si>
  <si>
    <t>585 191,23                              585 777,59</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</si>
  <si>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</si>
  <si>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</si>
  <si>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</si>
  <si>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</si>
  <si>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</si>
  <si>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</si>
  <si>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</si>
  <si>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L_Che367</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</si>
  <si>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</si>
  <si>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 xml:space="preserve">Реконструкция ВЛ 0,4 кВ Ф-1 ПС 35 кВ Красноармейская протеженностью 5,84 км, ВЛ 0,4 кВ Ф-2 ПС 35 кВ Ачхой-Мартан протеженностью 0,629 км., ВЛ 0,4 кВ Ф-2 ПС 35 кВ Красноармейская протеженностью 6,322 км, ВЛ 0,4 кВ Ф-3 ПС 35 кВ Ачхой-Мартан протеженностью 7,486 км, ВЛ 0,4 кВ Ф-7 ПС 35 кВ Ачхой-Мартан  протеженностью 8,19 км, ВЛ 0,4 кВ Ф-4 ПС 35 кВ Катыр-Юрт протеженностью 5,131 км, ВЛ 0,4 кВ Ф-8 ПС 35 кВ Катыр-Юрт протеженностью 4,113 км, ВЛ 0,4 кВ Ф-9 ПС 35 кВ Катыр-Юрт протеженностью 4,648 км, ВЛ 0,4 кВ Ф-2 ПС 110 кВ Самашки протеженностью 6,904 км, ВЛ 0,4 кВ Ф-4 ПС 110 кВ Самашки протеженностью 10,035 км, ВЛ 0,4 кВ Ф-4 ПС 35 кВ Ассиновская протеженностью  4,425км,  ВЛ 0,4 кВ Ф-4 ПС 35 кВ Серноводская протеженностью 3,465 км. Строительство ВЛ-10 кВ Ф-2 ПС 35 кВ Ачхой-Мартан протеженностью 0,25 км, ВЛ 10 кВ Ф-3 ПС 35 кВ Ачхой-Мартан  протеженностью 0,771 км, ВЛ 10 кВ Ф-7 ПС 35 кВ Ачхой-Мартан протеженностью 0,82 км, ВЛ 10 кВ Ф-4 ПС 35 кВ Катыр-Юрт протеженностью 0,7 км, ВЛ 10 кВ Ф-2 ПС 110 кВ Самашки протеженностью 1,45 км, ВЛ 10 кВ Ф-4 ПС 110 кВ Самашки протеженностью 0,2 км, ВЛ 10 кВ Ф-4 ПС 35 кВ Ассиновская протеженностью 0,025 км,  ВЛ 10 кВ Ф-4 ПС 35 кВ Серноводская протеженностью 0,185 км, реконструкция ТП Ф-1 ПС 35 кВ Красноармейская мощностью 0,48 МВА, ТП Ф-2 ПС 35 кВ Красноармейская мощностью 0,35 МВА, ТП Ф-3 ПС 35 кВ Ачхой-Мартан мощностью 0,36 МВА, ТП Ф-7 ПС 35 кВ Ачхой-Мартан мощностью 0,26 МВА, ТП Ф-4 ПС 35 кВ Катыр- Юрт мощностью 0,65 МВА, ТП Ф-8 ПС 35 кВ Катыр-Юрт мощностью 0,63 МВА,  ТП Ф-9 ПС 35 кВ Катыр-Юрт мощностью 0,2 МВА, ТП Ф-2 ПС 110 кВ Самашки мощностью 0,51 МВА, ТП Ф-4 ПС 110 кВ Самашки мощностью 0,5 мощностью МВА, ТП Ф-4 ПС 35 кВ Ассиновская мощностью 0,4 МВА, ТП Ф-4 ПС 35 кВ Серноводская мощностью 0,25 МВА, строительство ТП Ф-2 ПС 35 кВ Ачхой-Мартан  мощностью 0,1 МВА , ТП Ф-3 ПС 35 кВ Ачхой-Мартан  мощностью 0,5 МВА,  ТП Ф-7 ПС 35 кВ Ачхой-Мартан мощностью 0,26 МВА, ТП Ф-4 ПС 35 кВ Катыр-Юрт мощностью  0,16 МВА , ТП Ф-2 ПС 110 кВ Самашки мощностью 0,48 МВА , ТП Ф-4 ПС 110 кВ Самашки мощностью 0,16 МВА, ТП Ф-4 ПС 35 кВ Ассиновская мощностью 0,25 МВА,  ТП Ф-4 ПС 35 кВ Серноводская мощностью 0,25 МВА трансформаторной мощности в рамках "Плана (программы) снижения потерь электрической энергии в электрических сетях АО "Чеченэнерго". Ачхой-Мартановские РЭС </t>
  </si>
  <si>
    <t xml:space="preserve"> ВЛ 0,4 кВ Ф-1 ПС 35 кВ Красноармейская ТП 1-4</t>
  </si>
  <si>
    <t>АС-35</t>
  </si>
  <si>
    <t>СИП 4х50, СИП 4х70</t>
  </si>
  <si>
    <t>ВЛ</t>
  </si>
  <si>
    <t>СВ-110, СВ-95</t>
  </si>
  <si>
    <t>не осуществлялось</t>
  </si>
  <si>
    <t xml:space="preserve"> ВЛ 0,4 кВ Ф-1 ПС 35 кВ Красноармейская ТП 1-5</t>
  </si>
  <si>
    <t xml:space="preserve"> ВЛ 0,4 кВ Ф-1 ПС 35 кВ Красноармейская ТП 1-17</t>
  </si>
  <si>
    <t xml:space="preserve"> ВЛ 0,4 кВ Ф-1 ПС 35 кВ Красноармейская ТП 1-18</t>
  </si>
  <si>
    <t xml:space="preserve"> ВЛ 0,4 кВ Ф-1 ПС 35 кВ Красноармейская ТП 1-14</t>
  </si>
  <si>
    <t xml:space="preserve"> ВЛ 0,4 кВ Ф-2 ПС 35 кВ Ачхой-Мартан ТП 2-18А</t>
  </si>
  <si>
    <t xml:space="preserve"> ВЛ 0,4 кВ Ф-2 ПС 35 кВ Красноармейская ТП 2-18</t>
  </si>
  <si>
    <t xml:space="preserve"> ВЛ 0,4 кВ Ф-2 ПС 35 кВ Красноармейская ТП 2-21</t>
  </si>
  <si>
    <t xml:space="preserve"> ВЛ 0,4 кВ Ф-2 ПС 35 кВ Красноармейская ТП 2-37</t>
  </si>
  <si>
    <t xml:space="preserve"> ВЛ 0,4 кВ Ф-2 ПС 35 кВ Красноармейская ТП 2-20</t>
  </si>
  <si>
    <t xml:space="preserve"> ВЛ 0,4 кВ Ф-3 ПС 35 кВ Ачхой-Мартан ТП 3-18</t>
  </si>
  <si>
    <t xml:space="preserve"> ВЛ 0,4 кВ Ф-3 ПС 35 кВ Ачхой-Мартан ТП 3-18А</t>
  </si>
  <si>
    <t xml:space="preserve"> ВЛ 0,4 кВ Ф-3 ПС 35 кВ Ачхой-Мартан ТП 3-17</t>
  </si>
  <si>
    <t xml:space="preserve"> ВЛ 0,4 кВ Ф-3 ПС 35 кВ Ачхой-Мартан ТП 3-15</t>
  </si>
  <si>
    <t xml:space="preserve"> ВЛ 0,4 кВ Ф-3 ПС 35 кВ Ачхой-Мартан ТП 3-14А</t>
  </si>
  <si>
    <t xml:space="preserve"> ВЛ 0,4 кВ Ф-3 ПС 35 кВ Ачхой-Мартан ТП 3-14</t>
  </si>
  <si>
    <t xml:space="preserve"> ВЛ 0,4 кВ Ф-7 ПС 35 кВ Ачхой-Мартан ТП 7-7</t>
  </si>
  <si>
    <t xml:space="preserve"> ВЛ 0,4 кВ Ф-7 ПС 35 кВ Ачхой-Мартан ТП 7-7А</t>
  </si>
  <si>
    <t xml:space="preserve"> ВЛ 0,4 кВ Ф-7 ПС 35 кВ Ачхой-Мартан ТП 7-9</t>
  </si>
  <si>
    <t xml:space="preserve"> ВЛ 0,4 кВ Ф-7 ПС 35 кВ Ачхой-Мартан ТП 7-18</t>
  </si>
  <si>
    <t xml:space="preserve"> ВЛ 0,4 кВ Ф-7 ПС 35 кВ Ачхой-Мартан ТП 7-18А</t>
  </si>
  <si>
    <t xml:space="preserve"> ВЛ 0,4 кВ Ф-7 ПС 35 кВ Ачхой-Мартан ТП 7-34</t>
  </si>
  <si>
    <t xml:space="preserve"> ВЛ 0,4 кВ Ф-4 ПС 35 кВ Катыр-Юрт ТП 4-1</t>
  </si>
  <si>
    <t xml:space="preserve"> ВЛ 0,4 кВ Ф-4 ПС 35 кВ Катыр-Юрт ТП 4-8</t>
  </si>
  <si>
    <t xml:space="preserve"> ВЛ 0,4 кВ Ф-4 ПС 35 кВ Катыр-Юрт ТП 4-8А</t>
  </si>
  <si>
    <t xml:space="preserve"> ВЛ 0,4 кВ Ф-4 ПС 35 кВ Катыр-Юрт ТП 4-15</t>
  </si>
  <si>
    <t xml:space="preserve"> ВЛ 0,4 кВ Ф-8 ПС 35 кВ Катыр-Юрт ТП 8-5</t>
  </si>
  <si>
    <t xml:space="preserve"> ВЛ 0,4 кВ Ф-8 ПС 35 кВ Катыр-Юрт ТП 8-9</t>
  </si>
  <si>
    <t xml:space="preserve"> ВЛ 0,4 кВ Ф-8 ПС 35 кВ Катыр-Юрт ТП 8-12</t>
  </si>
  <si>
    <t xml:space="preserve"> ВЛ 0,4 кВ Ф-9 ПС 35 кВ Катыр-Юрт ТП 9-10</t>
  </si>
  <si>
    <t xml:space="preserve"> ВЛ 0,4 кВ Ф-9 ПС 35 кВ Катыр-Юрт ТП 9-14</t>
  </si>
  <si>
    <t xml:space="preserve"> ВЛ 0,4 кВ Ф-9 ПС 35 кВ Катыр-Юрт ТП 9-36</t>
  </si>
  <si>
    <t xml:space="preserve"> ВЛ 0,4 кВ Ф-2 ПС 110 кВ Самашки ТП 2-16</t>
  </si>
  <si>
    <t xml:space="preserve"> ВЛ 0,4 кВ Ф-2 ПС 110 кВ Самашки ТП 2-16А</t>
  </si>
  <si>
    <t xml:space="preserve"> ВЛ 0,4 кВ Ф-2 ПС 110 кВ Самашки ТП 2-26</t>
  </si>
  <si>
    <t xml:space="preserve"> ВЛ 0,4 кВ Ф-2 ПС 110 кВ Самашки ТП 2-26А</t>
  </si>
  <si>
    <t xml:space="preserve"> ВЛ 0,4 кВ Ф-2 ПС 110 кВ Самашки ТП 2-12</t>
  </si>
  <si>
    <t xml:space="preserve"> ВЛ 0,4 кВ Ф-2 ПС 110 кВ Самашки ТП 2-12А</t>
  </si>
  <si>
    <t xml:space="preserve"> ВЛ 0,4 кВ Ф-2 ПС 110 кВ Самашки ТП 2-15</t>
  </si>
  <si>
    <t xml:space="preserve"> ВЛ 0,4 кВ Ф-4 ПС 110 кВ Самашки ТП 4-7</t>
  </si>
  <si>
    <t xml:space="preserve"> ВЛ 0,4 кВ Ф-4 ПС 110 кВ Самашки ТП 4-7А</t>
  </si>
  <si>
    <t xml:space="preserve"> ВЛ 0,4 кВ Ф-4 ПС 110 кВ Самашки ТП 4-9</t>
  </si>
  <si>
    <t xml:space="preserve"> ВЛ 0,4 кВ Ф-4 ПС 110 кВ Самашки ТП 4-3</t>
  </si>
  <si>
    <t xml:space="preserve"> ВЛ 0,4 кВ Ф-4 ПС 110 кВ Самашки ТП 4-1</t>
  </si>
  <si>
    <t xml:space="preserve"> ВЛ 0,4 кВ Ф-4 ПС 110 кВ Самашки ТП 4-8</t>
  </si>
  <si>
    <t xml:space="preserve"> ВЛ 0,4 кВ Ф-4 ПС 35 кВ Ассиновская ТП 7-6</t>
  </si>
  <si>
    <t xml:space="preserve"> ВЛ 0,4 кВ Ф-4 ПС 35 кВ Ассиновская ТП 7-6А</t>
  </si>
  <si>
    <t xml:space="preserve"> ВЛ 0,4 кВ Ф-4 ПС 35 кВ Серноводская ТП 4-9А</t>
  </si>
  <si>
    <t xml:space="preserve"> ВЛ 0,4 кВ Ф-4 ПС 35 кВ Серноводская ТП 4-9</t>
  </si>
  <si>
    <t xml:space="preserve"> ВЛ 10 кВ Ф-2 ПС 35 кВ Ачхой-Мартан ТП 2-18А</t>
  </si>
  <si>
    <t>АС-50</t>
  </si>
  <si>
    <t>СВ-110</t>
  </si>
  <si>
    <t xml:space="preserve"> ВЛ 10 кВ Ф-3 ПС 35 кВ Ачхой-Мартан ТП 3-18А</t>
  </si>
  <si>
    <t xml:space="preserve"> ВЛ 10 кВ Ф-3 ПС 35 кВ Ачхой-Мартан ТП 3-14А</t>
  </si>
  <si>
    <t xml:space="preserve"> ВЛ 10 кВ Ф-7 ПС 35 кВ Ачхой-Мартан ТП 7-7А</t>
  </si>
  <si>
    <t xml:space="preserve"> ВЛ 10 кВ Ф-7 ПС 35 кВ Ачхой-Мартан ТП 7-18А</t>
  </si>
  <si>
    <t xml:space="preserve"> ВЛ 10 кВ Ф-4 ПС 35 кВ Катыр-Юрт ТП 4-8А</t>
  </si>
  <si>
    <t xml:space="preserve"> ВЛ 10 кВ Ф-2 ПС 110 кВ Самашки ТП 2-16А</t>
  </si>
  <si>
    <t xml:space="preserve"> ВЛ 10 кВ Ф-2 ПС 110 кВ Самашки ТП 2-26А</t>
  </si>
  <si>
    <t xml:space="preserve"> ВЛ 10 кВ Ф-2 ПС 110 кВ Самашки ТП 2-12А</t>
  </si>
  <si>
    <t xml:space="preserve"> ВЛ 10 кВ Ф-4 ПС 110 кВ Самашки ТП 4-7А</t>
  </si>
  <si>
    <t xml:space="preserve"> ВЛ 10 кВ Ф-4 ПС 35 кВ Ассиновская ТП 7-6А</t>
  </si>
  <si>
    <t xml:space="preserve"> ВЛ 10 кВ Ф-4 ПС 35 кВ Серноводская ТП 4-9А</t>
  </si>
  <si>
    <t xml:space="preserve"> ТП Ф-1 ПС 35 кВ Красноармейская ТП 1-5</t>
  </si>
  <si>
    <t>ТМГ</t>
  </si>
  <si>
    <t>КТП с ТМ</t>
  </si>
  <si>
    <t>КТПн с ТМГ</t>
  </si>
  <si>
    <t>ТП 1-5</t>
  </si>
  <si>
    <t>2020-2021</t>
  </si>
  <si>
    <t xml:space="preserve"> ТП Ф-1 ПС 35 кВ Красноармейская ТП 1-17</t>
  </si>
  <si>
    <t>ТП 1-17</t>
  </si>
  <si>
    <t>ТП Ф-1 ПС 35 кВ Красноармейская ТП 1-18</t>
  </si>
  <si>
    <t>ТП 1-18</t>
  </si>
  <si>
    <t>ТП Ф-2 ПС 35 кВ Красноармейская ТП 2-18</t>
  </si>
  <si>
    <t xml:space="preserve"> ТП 2-18</t>
  </si>
  <si>
    <t xml:space="preserve"> ТП Ф-2 ПС 35 кВ Красноармейская ТП 2-20</t>
  </si>
  <si>
    <t>ТП 2-20</t>
  </si>
  <si>
    <t>ТП Ф-3 ПС 35 кВ Ачхой-Мартан ТП 3-18</t>
  </si>
  <si>
    <t>ТП 3-18</t>
  </si>
  <si>
    <t>ТП Ф-3 ПС 35 кВ Ачхой-Мартан ТП 3-17</t>
  </si>
  <si>
    <t>ТП 3-17</t>
  </si>
  <si>
    <t>ТП Ф-3 ПС 35 кВ Ачхой-Мартан ТП 3-14</t>
  </si>
  <si>
    <t>ТП 3-14</t>
  </si>
  <si>
    <t>ТП Ф-7 ПС 35 кВ Ачхой-Мартан ТП 7-9</t>
  </si>
  <si>
    <t>ТП 7-9</t>
  </si>
  <si>
    <t>ТП Ф-7 ПС 35 кВ Ачхой-Мартан ТП 7-18</t>
  </si>
  <si>
    <t>ТП 7-18</t>
  </si>
  <si>
    <t xml:space="preserve"> ТП Ф-4 ПС 35 кВ Катыр-Юрт ТП 4-1</t>
  </si>
  <si>
    <t>ТП 4-1</t>
  </si>
  <si>
    <t xml:space="preserve"> ТП Ф-4 ПС 35 кВ Катыр-Юрт ТП 4-8</t>
  </si>
  <si>
    <t>ТП 4-8</t>
  </si>
  <si>
    <t xml:space="preserve"> ТП Ф-8 ПС 35 кВ Катыр-Юрт ТП 8-5</t>
  </si>
  <si>
    <t>ТП 8-5</t>
  </si>
  <si>
    <t xml:space="preserve"> ТП Ф-9 ПС 35 кВ Катыр-Юрт ТП 9-10</t>
  </si>
  <si>
    <t>ТП 9-10</t>
  </si>
  <si>
    <t xml:space="preserve"> ТП Ф-9 ПС 35 кВ Катыр-Юрт ТП 9-36</t>
  </si>
  <si>
    <t>ТП 9-36</t>
  </si>
  <si>
    <t xml:space="preserve"> ТП Ф-2 ПС 110 кВ Самашки ТП 2-26</t>
  </si>
  <si>
    <t>ТП 2-26</t>
  </si>
  <si>
    <t xml:space="preserve"> ТП Ф-2 ПС 110 кВ Самашки ТП 2-12</t>
  </si>
  <si>
    <t>ТП 2-12</t>
  </si>
  <si>
    <t xml:space="preserve"> ТП Ф-2 ПС 110 кВ Самашки ТП 2-15</t>
  </si>
  <si>
    <t>ТП 2-15</t>
  </si>
  <si>
    <t xml:space="preserve"> ТП Ф-4 ПС 110 кВ Самашки ТП 4-7</t>
  </si>
  <si>
    <t>ТП 4-7</t>
  </si>
  <si>
    <t xml:space="preserve"> ТП Ф-4 ПС 110 кВ Самашки ТП 4-1</t>
  </si>
  <si>
    <t xml:space="preserve"> ТП Ф-4 ПС 35 кВ Ассиновская ТП 7-6</t>
  </si>
  <si>
    <t>ТП 7-6</t>
  </si>
  <si>
    <t xml:space="preserve"> ТП Ф-4 ПС 35 кВ Серноводская ТП 4-9</t>
  </si>
  <si>
    <t>ТП 4-9</t>
  </si>
  <si>
    <t xml:space="preserve"> ТП Ф-2 ПС 35 кВ Ачхой-Мартан ТП 2-18А</t>
  </si>
  <si>
    <t>ТП 2-18А</t>
  </si>
  <si>
    <t xml:space="preserve"> ТП Ф-3 ПС 35 кВ Ачхой-Мартан ТП 3-18А</t>
  </si>
  <si>
    <t>3-18А</t>
  </si>
  <si>
    <t xml:space="preserve"> ТП Ф-3 ПС 35 кВ Ачхой-Мартан ТП 3-14А</t>
  </si>
  <si>
    <t xml:space="preserve"> 3-14А</t>
  </si>
  <si>
    <t xml:space="preserve"> ТП Ф-7 ПС 35 кВ Ачхой-Мартан ТП 7-7А</t>
  </si>
  <si>
    <t>ТП 7-7А</t>
  </si>
  <si>
    <t xml:space="preserve"> ТП Ф-7 ПС 35 кВ Ачхой-Мартан ТП 7-18А</t>
  </si>
  <si>
    <t>ТП 7-18А</t>
  </si>
  <si>
    <t xml:space="preserve"> ТП Ф-4 ПС 35 кВ Катыр-Юрт ТП 4-8А</t>
  </si>
  <si>
    <t>ТП 4-8А</t>
  </si>
  <si>
    <t xml:space="preserve"> ТП Ф-2 ПС 110 кВ Самашки ТП 2-16А</t>
  </si>
  <si>
    <t>ТП 2-16А</t>
  </si>
  <si>
    <t xml:space="preserve"> ТП Ф-2 ПС 110 кВ Самашки ТП 2-26А</t>
  </si>
  <si>
    <t>ТП 2-26А</t>
  </si>
  <si>
    <t xml:space="preserve"> ТП Ф-2 ПС 110 кВ Самашки ТП 2-12А</t>
  </si>
  <si>
    <t>ТП 2-12А</t>
  </si>
  <si>
    <t xml:space="preserve"> ТП Ф-4 ПС 110 кВ Самашки ТП 4-7А</t>
  </si>
  <si>
    <t>ТП 4-7А</t>
  </si>
  <si>
    <t xml:space="preserve"> ТП Ф-4 ПС 35 кВ Ассиновская ТП 7-6А</t>
  </si>
  <si>
    <t>ТП 7-6А</t>
  </si>
  <si>
    <t xml:space="preserve"> ТП Ф-4 ПС 35 кВ Серноводская ТП 4-9А</t>
  </si>
  <si>
    <t>ТП 4-9А</t>
  </si>
  <si>
    <t>117 950,43  
118 033,76</t>
  </si>
  <si>
    <t>комплекс</t>
  </si>
  <si>
    <r>
      <t>ООО РСФ "Мир"  № 01-18-ПИР от 17.08.2018</t>
    </r>
    <r>
      <rPr>
        <sz val="11"/>
        <rFont val="Times New Roman"/>
        <family val="1"/>
        <charset val="204"/>
      </rPr>
      <t xml:space="preserve"> (объем затрат по данному объекту - 9,70 млн руб. с НДС)</t>
    </r>
  </si>
  <si>
    <t>2.2.</t>
  </si>
  <si>
    <t>3.7.</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</si>
  <si>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</si>
  <si>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</si>
  <si>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</si>
  <si>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</si>
  <si>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Ачхой-Мартановский район</t>
  </si>
  <si>
    <t>местный</t>
  </si>
  <si>
    <t>+</t>
  </si>
  <si>
    <t>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 - 6,75 МВт. 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0,4 кв - 71,59 км. Показатель объема финансовых потребностей, необходимых для реализации мероприятий, направленных на выполнение требований законодательства (фтз) - 133,24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</si>
  <si>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</si>
  <si>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</si>
  <si>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</si>
  <si>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2,73 млн.кВтч; экономия от снижения потерь и роста объема оказанных услуг составит 6,85 млн. руб.</t>
  </si>
  <si>
    <t>16,6 млн.руб./МВА. 1,57 млн.руб./км.</t>
  </si>
  <si>
    <t>6,75 МВА (6,75 МВА)  71,59 км (71,59 км)</t>
  </si>
  <si>
    <t>Строительство</t>
  </si>
  <si>
    <t>Итого за год (нарастающим итогом)</t>
  </si>
  <si>
    <t>за текущий квартал</t>
  </si>
  <si>
    <t>строительный контроль</t>
  </si>
  <si>
    <t>Авторский надзор</t>
  </si>
  <si>
    <t>объем заключенного договора в ценах _2021_ года с НДС, млн. руб.</t>
  </si>
  <si>
    <t>объем заключенного договора в ценах _2020_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</si>
  <si>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</si>
  <si>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</si>
  <si>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</si>
  <si>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2366050 </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</si>
  <si>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</si>
  <si>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</si>
  <si>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</si>
  <si>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</si>
  <si>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Ачхой-Мартановским РЭС - 114 573,23 тыс. руб. с НДС.  Факт выполнения составил 108 737,6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</si>
  <si>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</si>
  <si>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</si>
  <si>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 xml:space="preserve">Договор АО "ЦИУС ЕЭС" от 11.01.2021 № 01-21-СК-ЧЭ заключен с взаимозависимым лицом на основании решения СД ПАО "Россети" (протокол от 05.10.2018 № 324). Объем затрат по Ачхой-Мартановским РЭС - 2 435,72 тыс. руб. с НДС. </t>
  </si>
  <si>
    <t>СР</t>
  </si>
  <si>
    <t>ЕИ</t>
  </si>
  <si>
    <t xml:space="preserve">ООО РСФ "МИР"    </t>
  </si>
  <si>
    <t xml:space="preserve">ООО РСФ "МИР" </t>
  </si>
  <si>
    <t>5.7</t>
  </si>
  <si>
    <t>ЦЗО</t>
  </si>
  <si>
    <t>ПР 161220/20</t>
  </si>
  <si>
    <t>ООО РСФ "МИР" Договор а от 21.12.2020  №24-20-ЧЭ. Объем затрат по Ачхой-Мартановским РЭС - 252,03 тыс. руб. с НДС</t>
  </si>
  <si>
    <r>
      <t xml:space="preserve">Договор  от 17.08.2018 № 01-18-ПИР  заключен на общую сумму 143 939,50  тыс. руб. с НДС (в соответствии с доп. соглашением № 2 от 18.02.2019, изменение ставки НДС) , объем ПИР по ПСП  э/э  в сетях Ачхой-Мартановских РЭС - </t>
    </r>
    <r>
      <rPr>
        <sz val="10"/>
        <rFont val="Times New Roman"/>
        <family val="1"/>
        <charset val="204"/>
      </rPr>
      <t xml:space="preserve"> 9 695,84</t>
    </r>
    <r>
      <rPr>
        <sz val="10"/>
        <color indexed="8"/>
        <rFont val="Times New Roman"/>
        <family val="1"/>
        <charset val="204"/>
      </rPr>
      <t xml:space="preserve"> тыс. руб. с НДС.
Дата исполнения договора - в соотетствтсии с доп. соглашением № 1 от 28.12.2018</t>
    </r>
  </si>
  <si>
    <t>АО "ЦИУС ЕЭС" № 01-21-СК-ЧЭ от 11.01.21г. (объем затрат по данному объекту -2,44 млн руб. с НДС)</t>
  </si>
  <si>
    <t>РСФ "МИР" ООО №24-20-ЧЭ от 21.12.2020г. (объем затрат по данному объекту - 0,25 млн руб. с НДС)</t>
  </si>
  <si>
    <t>ООО "НИЙСО и К" № 18-20-СМР-ЧЭ от 6.10.2020 "под ключ" (объем затрат по данному объекту - 108,74 млн руб. с НДС)</t>
  </si>
  <si>
    <t>15.04.2024</t>
  </si>
  <si>
    <t>18.04.2024</t>
  </si>
  <si>
    <t>26.04.2024</t>
  </si>
  <si>
    <t>30.04.2024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</si>
</sst>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0"/>
    <numFmt numFmtId="168" formatCode="[$-419]mmmm\ yyyy;@"/>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7" fillId="0" borderId="0" applyNumberFormat="0" applyFill="0" applyBorder="0" applyAlignment="0" applyProtection="0"/>
  </cellStyleXfs>
  <cellXfs count="376">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left"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0" fontId="64"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0" fontId="66" fillId="24" borderId="0" xfId="52" applyFont="1" applyFill="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9" fontId="33" fillId="0" borderId="10" xfId="60" applyFont="1" applyFill="1" applyBorder="1" applyAlignment="1">
      <alignment horizontal="justify" vertical="top"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6" fillId="0" borderId="10" xfId="52" applyNumberFormat="1" applyFont="1" applyFill="1" applyBorder="1" applyAlignment="1">
      <alignment horizontal="center" vertical="center"/>
    </xf>
    <xf numFmtId="14" fontId="66" fillId="0" borderId="10" xfId="52" applyNumberFormat="1" applyFont="1" applyFill="1" applyBorder="1" applyAlignment="1">
      <alignment horizontal="center" vertical="center"/>
    </xf>
    <xf numFmtId="1" fontId="66" fillId="0"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0" fontId="66"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7"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wrapText="1"/>
    </xf>
    <xf numFmtId="14" fontId="49" fillId="25" borderId="10" xfId="52" applyNumberFormat="1" applyFont="1" applyFill="1" applyBorder="1" applyAlignment="1">
      <alignment horizontal="center" vertical="center"/>
    </xf>
    <xf numFmtId="0" fontId="9" fillId="0" borderId="10" xfId="41" applyFont="1" applyFill="1" applyBorder="1" applyAlignment="1">
      <alignment horizontal="center" vertical="top" wrapText="1"/>
    </xf>
    <xf numFmtId="0" fontId="60" fillId="0" borderId="10" xfId="0" applyFont="1" applyBorder="1"/>
    <xf numFmtId="0" fontId="60" fillId="0" borderId="10" xfId="0" applyFont="1" applyBorder="1" applyAlignment="1">
      <alignment horizontal="center" vertical="center"/>
    </xf>
    <xf numFmtId="0" fontId="9" fillId="0" borderId="10" xfId="41" applyFont="1" applyFill="1" applyBorder="1" applyAlignment="1">
      <alignment horizontal="center"/>
    </xf>
    <xf numFmtId="0" fontId="9" fillId="0" borderId="10" xfId="41" applyFont="1" applyFill="1" applyBorder="1" applyAlignment="1">
      <alignment horizontal="left"/>
    </xf>
    <xf numFmtId="49" fontId="9" fillId="0" borderId="10" xfId="41" applyNumberFormat="1" applyFont="1" applyFill="1" applyBorder="1" applyAlignment="1">
      <alignment horizontal="center" vertical="top"/>
    </xf>
    <xf numFmtId="2" fontId="9" fillId="0" borderId="10" xfId="41" applyNumberFormat="1" applyFont="1" applyFill="1" applyBorder="1" applyAlignment="1">
      <alignment horizontal="center" vertical="top"/>
    </xf>
    <xf numFmtId="0" fontId="9" fillId="24" borderId="10" xfId="0" applyFont="1" applyFill="1" applyBorder="1"/>
    <xf numFmtId="0" fontId="9" fillId="24" borderId="10" xfId="41" applyFont="1" applyFill="1" applyBorder="1" applyAlignment="1">
      <alignment horizontal="center" vertical="top"/>
    </xf>
    <xf numFmtId="49" fontId="9" fillId="24" borderId="10" xfId="41" applyNumberFormat="1" applyFont="1" applyFill="1" applyBorder="1" applyAlignment="1">
      <alignment horizontal="center" vertical="top"/>
    </xf>
    <xf numFmtId="2" fontId="9" fillId="24" borderId="10" xfId="41" applyNumberFormat="1" applyFont="1" applyFill="1" applyBorder="1" applyAlignment="1">
      <alignment horizontal="center" vertical="top"/>
    </xf>
    <xf numFmtId="14" fontId="49" fillId="0" borderId="10" xfId="52" applyNumberFormat="1" applyFont="1" applyFill="1" applyBorder="1" applyAlignment="1">
      <alignment horizontal="center" vertical="center" wrapText="1"/>
    </xf>
    <xf numFmtId="1" fontId="49" fillId="24" borderId="10" xfId="52" applyNumberFormat="1" applyFont="1" applyFill="1" applyBorder="1" applyAlignment="1">
      <alignment horizontal="center" vertical="center"/>
    </xf>
    <xf numFmtId="0" fontId="35" fillId="0" borderId="22" xfId="42" applyFont="1" applyFill="1" applyBorder="1" applyAlignment="1">
      <alignment horizontal="center" vertical="center" wrapText="1"/>
    </xf>
    <xf numFmtId="0" fontId="8" fillId="0" borderId="0" xfId="53" applyFont="1" applyFill="1"/>
    <xf numFmtId="0" fontId="11" fillId="0" borderId="0" xfId="53" applyFont="1" applyFill="1" applyAlignment="1">
      <alignment horizontal="left" vertical="center"/>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35" fillId="0" borderId="10" xfId="42" applyFont="1" applyFill="1" applyBorder="1" applyAlignment="1">
      <alignment horizontal="center" vertical="center" wrapText="1"/>
    </xf>
    <xf numFmtId="0" fontId="49" fillId="0"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2" fontId="49" fillId="0" borderId="10" xfId="52" applyNumberFormat="1" applyFont="1" applyFill="1" applyBorder="1" applyAlignment="1">
      <alignment horizontal="center" vertical="center"/>
    </xf>
    <xf numFmtId="0" fontId="49" fillId="0" borderId="10" xfId="52" applyFont="1" applyFill="1" applyBorder="1"/>
    <xf numFmtId="14" fontId="68" fillId="0" borderId="10" xfId="52" applyNumberFormat="1" applyFont="1" applyFill="1" applyBorder="1" applyAlignment="1">
      <alignment horizontal="center" vertical="center"/>
    </xf>
    <xf numFmtId="0" fontId="49" fillId="0" borderId="13" xfId="52" applyFont="1" applyFill="1" applyBorder="1" applyAlignment="1">
      <alignment horizontal="center" vertical="center" wrapText="1"/>
    </xf>
    <xf numFmtId="2" fontId="34" fillId="0" borderId="10" xfId="42" applyNumberFormat="1" applyFont="1" applyFill="1" applyBorder="1" applyAlignment="1">
      <alignment horizontal="justify" vertical="center" wrapText="1"/>
    </xf>
    <xf numFmtId="10" fontId="33" fillId="0" borderId="10" xfId="60" applyNumberFormat="1" applyFont="1" applyFill="1" applyBorder="1" applyAlignment="1">
      <alignment horizontal="justify" vertical="top" wrapText="1"/>
    </xf>
    <xf numFmtId="10" fontId="33" fillId="0" borderId="10" xfId="42" applyNumberFormat="1" applyFont="1" applyFill="1" applyBorder="1" applyAlignment="1">
      <alignment horizontal="justify" vertical="top" wrapText="1"/>
    </xf>
    <xf numFmtId="0" fontId="34" fillId="0" borderId="10" xfId="42" applyFont="1" applyFill="1" applyBorder="1" applyAlignment="1">
      <alignment horizontal="justify" vertical="center" wrapText="1"/>
    </xf>
    <xf numFmtId="0" fontId="35" fillId="0" borderId="14" xfId="42" applyFont="1" applyFill="1" applyBorder="1" applyAlignment="1">
      <alignment horizontal="center" vertical="center" wrapText="1"/>
    </xf>
    <xf numFmtId="2" fontId="35" fillId="0" borderId="0" xfId="42" applyNumberFormat="1" applyFont="1" applyFill="1"/>
    <xf numFmtId="0" fontId="49" fillId="0" borderId="10" xfId="52" applyFont="1" applyFill="1" applyBorder="1" applyAlignment="1">
      <alignment horizontal="center" vertical="center"/>
    </xf>
    <xf numFmtId="1" fontId="66" fillId="24" borderId="10" xfId="52" applyNumberFormat="1" applyFont="1" applyFill="1" applyBorder="1" applyAlignment="1">
      <alignment horizontal="justify" vertical="center" wrapText="1"/>
    </xf>
    <xf numFmtId="4" fontId="49" fillId="0" borderId="10" xfId="52" applyNumberFormat="1" applyFont="1" applyFill="1" applyBorder="1" applyAlignment="1">
      <alignment horizontal="center" vertical="center" wrapText="1"/>
    </xf>
    <xf numFmtId="0" fontId="49" fillId="0" borderId="10" xfId="52" applyFont="1" applyFill="1" applyBorder="1" applyAlignment="1">
      <alignment horizontal="justify" vertical="center" wrapText="1"/>
    </xf>
    <xf numFmtId="49" fontId="66"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center" wrapText="1"/>
    </xf>
    <xf numFmtId="2" fontId="60" fillId="0" borderId="10" xfId="42" applyNumberFormat="1" applyFont="1" applyFill="1" applyBorder="1" applyAlignment="1">
      <alignment horizontal="center" vertical="center" wrapText="1"/>
    </xf>
    <xf numFmtId="0" fontId="9" fillId="0" borderId="32" xfId="42" applyNumberFormat="1" applyFont="1" applyFill="1" applyBorder="1" applyAlignment="1">
      <alignment horizontal="center" vertical="top" wrapText="1"/>
    </xf>
    <xf numFmtId="9" fontId="9" fillId="0" borderId="32" xfId="60" applyFont="1" applyFill="1" applyBorder="1" applyAlignment="1">
      <alignment horizontal="center" vertical="center" wrapText="1"/>
    </xf>
    <xf numFmtId="0" fontId="9" fillId="0" borderId="32" xfId="42" applyFont="1" applyFill="1" applyBorder="1" applyAlignment="1">
      <alignment horizontal="center" vertical="center" wrapText="1"/>
    </xf>
    <xf numFmtId="1" fontId="9" fillId="0" borderId="32" xfId="42" applyNumberFormat="1" applyFont="1" applyFill="1" applyBorder="1" applyAlignment="1">
      <alignment horizontal="center" vertical="center" wrapText="1"/>
    </xf>
    <xf numFmtId="14" fontId="9" fillId="0" borderId="32" xfId="42" applyNumberFormat="1" applyFont="1" applyFill="1" applyBorder="1" applyAlignment="1">
      <alignment horizontal="center" vertical="center" wrapText="1"/>
    </xf>
    <xf numFmtId="14" fontId="9" fillId="24" borderId="32" xfId="42" applyNumberFormat="1" applyFont="1" applyFill="1" applyBorder="1" applyAlignment="1">
      <alignment horizontal="center" vertical="center" wrapText="1"/>
    </xf>
    <xf numFmtId="14" fontId="9" fillId="24" borderId="32" xfId="42" applyNumberFormat="1" applyFont="1" applyFill="1" applyBorder="1" applyAlignment="1">
      <alignment horizontal="center" vertical="center"/>
    </xf>
    <xf numFmtId="9" fontId="9" fillId="0" borderId="32" xfId="60" applyFont="1" applyFill="1" applyBorder="1" applyAlignment="1">
      <alignment horizontal="center" vertical="center"/>
    </xf>
    <xf numFmtId="14" fontId="60" fillId="24" borderId="32" xfId="42" applyNumberFormat="1" applyFont="1" applyFill="1" applyBorder="1" applyAlignment="1">
      <alignment horizontal="center" vertical="center" wrapText="1"/>
    </xf>
    <xf numFmtId="14" fontId="60" fillId="24" borderId="32" xfId="42" applyNumberFormat="1" applyFont="1" applyFill="1" applyBorder="1" applyAlignment="1">
      <alignment horizontal="center" vertical="center"/>
    </xf>
    <xf numFmtId="14" fontId="9" fillId="0" borderId="32" xfId="42" applyNumberFormat="1" applyBorder="1" applyAlignment="1">
      <alignment horizontal="center" vertical="center" wrapText="1"/>
    </xf>
    <xf numFmtId="49" fontId="9" fillId="0" borderId="32" xfId="42" applyNumberFormat="1" applyFont="1" applyFill="1" applyBorder="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5" fillId="0" borderId="0" xfId="53" applyFont="1" applyFill="1" applyAlignment="1">
      <alignment horizontal="center" vertical="center" wrapText="1"/>
    </xf>
    <xf numFmtId="0" fontId="6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0" fontId="6"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0" xfId="42" applyFont="1" applyFill="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0" fontId="45" fillId="0" borderId="10" xfId="52" applyFont="1" applyFill="1" applyBorder="1" applyAlignment="1">
      <alignment horizontal="center" vertical="center" textRotation="90" wrapText="1"/>
    </xf>
    <xf numFmtId="0" fontId="45" fillId="0" borderId="10"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5" xfId="52" applyFont="1" applyFill="1" applyBorder="1" applyAlignment="1">
      <alignment horizontal="center" vertical="center"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66" fillId="0" borderId="14" xfId="52" applyNumberFormat="1" applyFont="1" applyFill="1" applyBorder="1" applyAlignment="1">
      <alignment horizontal="center" vertical="center"/>
    </xf>
    <xf numFmtId="1" fontId="66" fillId="0" borderId="15" xfId="52" applyNumberFormat="1" applyFont="1" applyFill="1" applyBorder="1" applyAlignment="1">
      <alignment horizontal="center" vertical="center"/>
    </xf>
    <xf numFmtId="1" fontId="66" fillId="0" borderId="12" xfId="52" applyNumberFormat="1" applyFont="1" applyFill="1" applyBorder="1" applyAlignment="1">
      <alignment horizontal="center" vertical="center"/>
    </xf>
    <xf numFmtId="0" fontId="49" fillId="24" borderId="14" xfId="52"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12" xfId="52" applyFont="1" applyFill="1" applyBorder="1" applyAlignment="1">
      <alignment horizontal="center" vertical="center" wrapText="1"/>
    </xf>
    <xf numFmtId="168" fontId="49" fillId="24" borderId="14" xfId="52" applyNumberFormat="1" applyFont="1" applyFill="1" applyBorder="1" applyAlignment="1">
      <alignment horizontal="center" vertical="center" wrapText="1"/>
    </xf>
    <xf numFmtId="168" fontId="49" fillId="24" borderId="15" xfId="52" applyNumberFormat="1" applyFont="1" applyFill="1" applyBorder="1" applyAlignment="1">
      <alignment horizontal="center" vertical="center" wrapText="1"/>
    </xf>
    <xf numFmtId="168" fontId="49" fillId="24" borderId="12" xfId="52" applyNumberFormat="1" applyFont="1" applyFill="1" applyBorder="1" applyAlignment="1">
      <alignment horizontal="center" vertical="center" wrapText="1"/>
    </xf>
    <xf numFmtId="2" fontId="33" fillId="24" borderId="14" xfId="52" applyNumberFormat="1" applyFont="1" applyFill="1" applyBorder="1" applyAlignment="1">
      <alignment horizontal="center" vertical="center" wrapText="1"/>
    </xf>
    <xf numFmtId="2" fontId="33" fillId="24" borderId="15" xfId="52" applyNumberFormat="1" applyFont="1" applyFill="1" applyBorder="1" applyAlignment="1">
      <alignment horizontal="center" vertical="center" wrapText="1"/>
    </xf>
    <xf numFmtId="2" fontId="33" fillId="24" borderId="12" xfId="52" applyNumberFormat="1" applyFont="1" applyFill="1" applyBorder="1" applyAlignment="1">
      <alignment horizontal="center" vertical="center" wrapText="1"/>
    </xf>
    <xf numFmtId="1" fontId="66" fillId="0" borderId="14" xfId="52" applyNumberFormat="1" applyFont="1" applyFill="1" applyBorder="1" applyAlignment="1">
      <alignment horizontal="center" vertical="center" wrapText="1"/>
    </xf>
    <xf numFmtId="1" fontId="66" fillId="0" borderId="15" xfId="52" applyNumberFormat="1" applyFont="1" applyFill="1" applyBorder="1" applyAlignment="1">
      <alignment horizontal="center" vertical="center" wrapText="1"/>
    </xf>
    <xf numFmtId="1" fontId="66" fillId="0" borderId="12" xfId="52" applyNumberFormat="1" applyFont="1" applyFill="1" applyBorder="1" applyAlignment="1">
      <alignment horizontal="center" vertical="center" wrapText="1"/>
    </xf>
    <xf numFmtId="1" fontId="66" fillId="24" borderId="11" xfId="52" applyNumberFormat="1" applyFont="1" applyFill="1" applyBorder="1" applyAlignment="1">
      <alignment horizontal="center" vertical="center" wrapText="1"/>
    </xf>
    <xf numFmtId="1" fontId="66" fillId="24" borderId="19" xfId="52" applyNumberFormat="1" applyFont="1" applyFill="1" applyBorder="1" applyAlignment="1">
      <alignment horizontal="center" vertical="center" wrapText="1"/>
    </xf>
    <xf numFmtId="1" fontId="66" fillId="24" borderId="13"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C50" sqref="C50"/>
    </sheetView>
  </sheetViews>
  <sheetFormatPr defaultColWidth="9.140625" defaultRowHeight="15" x14ac:dyDescent="0.25"/>
  <cols>
    <col min="1" max="1" width="6.140625" style="117" customWidth="1"/>
    <col min="2" max="2" width="53.5703125" style="117" customWidth="1"/>
    <col min="3" max="3" width="92.140625" style="117" customWidth="1"/>
    <col min="4" max="4" width="12" style="117" customWidth="1"/>
    <col min="5" max="5" width="14.42578125" style="117" customWidth="1"/>
    <col min="6" max="6" width="36.5703125" style="117" customWidth="1"/>
    <col min="7" max="7" width="20" style="117" customWidth="1"/>
    <col min="8" max="8" width="25.5703125" style="117" customWidth="1"/>
    <col min="9" max="9" width="16.42578125" style="117" customWidth="1"/>
    <col min="10" max="16384" width="9.140625" style="117"/>
  </cols>
  <sheetData>
    <row r="1" spans="1:22" s="75" customFormat="1" ht="18.75" customHeight="1" x14ac:dyDescent="0.2">
      <c r="A1" s="19"/>
      <c r="C1" s="16" t="s">
        <v>22</v>
      </c>
    </row>
    <row r="2" spans="1:22" s="75" customFormat="1" ht="18.75" customHeight="1" x14ac:dyDescent="0.3">
      <c r="A2" s="19"/>
      <c r="C2" s="14" t="s">
        <v>6</v>
      </c>
    </row>
    <row r="3" spans="1:22" s="75" customFormat="1" ht="18.75" x14ac:dyDescent="0.3">
      <c r="A3" s="13"/>
      <c r="C3" s="14" t="s">
        <v>21</v>
      </c>
    </row>
    <row r="4" spans="1:22" s="75" customFormat="1" ht="18.75" x14ac:dyDescent="0.3">
      <c r="A4" s="13"/>
      <c r="H4" s="14"/>
    </row>
    <row r="5" spans="1:22" s="75" customFormat="1" ht="15.75" x14ac:dyDescent="0.25">
      <c r="A5" s="239" t="str">
        <f>'[1]6.2. отчет'!$B$2</f>
        <v>Год раскрытия информации: 2025 год</v>
      </c>
      <c r="B5" s="239"/>
      <c r="C5" s="239"/>
      <c r="D5" s="12"/>
      <c r="E5" s="12"/>
      <c r="F5" s="12"/>
      <c r="G5" s="12"/>
      <c r="H5" s="12"/>
      <c r="I5" s="12"/>
      <c r="J5" s="12"/>
    </row>
    <row r="6" spans="1:22" s="75" customFormat="1" ht="18.75" x14ac:dyDescent="0.3">
      <c r="A6" s="13"/>
      <c r="H6" s="14"/>
    </row>
    <row r="7" spans="1:22" s="75" customFormat="1" ht="18.75" x14ac:dyDescent="0.2">
      <c r="A7" s="243" t="s">
        <v>5</v>
      </c>
      <c r="B7" s="243"/>
      <c r="C7" s="243"/>
      <c r="D7" s="17"/>
      <c r="E7" s="17"/>
      <c r="F7" s="17"/>
      <c r="G7" s="17"/>
      <c r="H7" s="17"/>
      <c r="I7" s="17"/>
      <c r="J7" s="17"/>
      <c r="K7" s="17"/>
      <c r="L7" s="17"/>
      <c r="M7" s="17"/>
      <c r="N7" s="17"/>
      <c r="O7" s="17"/>
      <c r="P7" s="17"/>
      <c r="Q7" s="17"/>
      <c r="R7" s="17"/>
      <c r="S7" s="17"/>
      <c r="T7" s="17"/>
      <c r="U7" s="17"/>
      <c r="V7" s="17"/>
    </row>
    <row r="8" spans="1:22" s="75" customFormat="1" ht="18.75" x14ac:dyDescent="0.2">
      <c r="A8" s="80"/>
      <c r="B8" s="80"/>
      <c r="C8" s="80"/>
      <c r="D8" s="80"/>
      <c r="E8" s="80"/>
      <c r="F8" s="80"/>
      <c r="G8" s="80"/>
      <c r="H8" s="80"/>
      <c r="I8" s="17"/>
      <c r="J8" s="17"/>
      <c r="K8" s="17"/>
      <c r="L8" s="17"/>
      <c r="M8" s="17"/>
      <c r="N8" s="17"/>
      <c r="O8" s="17"/>
      <c r="P8" s="17"/>
      <c r="Q8" s="17"/>
      <c r="R8" s="17"/>
      <c r="S8" s="17"/>
      <c r="T8" s="17"/>
      <c r="U8" s="17"/>
      <c r="V8" s="17"/>
    </row>
    <row r="9" spans="1:22" s="75" customFormat="1" ht="18.75" x14ac:dyDescent="0.2">
      <c r="A9" s="244" t="s">
        <v>264</v>
      </c>
      <c r="B9" s="244"/>
      <c r="C9" s="244"/>
      <c r="D9" s="18"/>
      <c r="E9" s="18"/>
      <c r="F9" s="18"/>
      <c r="G9" s="18"/>
      <c r="H9" s="18"/>
      <c r="I9" s="17"/>
      <c r="J9" s="17"/>
      <c r="K9" s="17"/>
      <c r="L9" s="17"/>
      <c r="M9" s="17"/>
      <c r="N9" s="17"/>
      <c r="O9" s="17"/>
      <c r="P9" s="17"/>
      <c r="Q9" s="17"/>
      <c r="R9" s="17"/>
      <c r="S9" s="17"/>
      <c r="T9" s="17"/>
      <c r="U9" s="17"/>
      <c r="V9" s="17"/>
    </row>
    <row r="10" spans="1:22" s="75" customFormat="1" ht="18.75" x14ac:dyDescent="0.2">
      <c r="A10" s="249" t="s">
        <v>4</v>
      </c>
      <c r="B10" s="249"/>
      <c r="C10" s="249"/>
      <c r="D10" s="15"/>
      <c r="E10" s="15"/>
      <c r="F10" s="15"/>
      <c r="G10" s="15"/>
      <c r="H10" s="15"/>
      <c r="I10" s="17"/>
      <c r="J10" s="17"/>
      <c r="K10" s="17"/>
      <c r="L10" s="17"/>
      <c r="M10" s="17"/>
      <c r="N10" s="17"/>
      <c r="O10" s="17"/>
      <c r="P10" s="17"/>
      <c r="Q10" s="17"/>
      <c r="R10" s="17"/>
      <c r="S10" s="17"/>
      <c r="T10" s="17"/>
      <c r="U10" s="17"/>
      <c r="V10" s="17"/>
    </row>
    <row r="11" spans="1:22" s="75" customFormat="1" ht="18.75" x14ac:dyDescent="0.2">
      <c r="A11" s="80"/>
      <c r="B11" s="80"/>
      <c r="C11" s="80"/>
      <c r="D11" s="80"/>
      <c r="E11" s="80"/>
      <c r="F11" s="80"/>
      <c r="G11" s="80"/>
      <c r="H11" s="80"/>
      <c r="I11" s="17"/>
      <c r="J11" s="17"/>
      <c r="K11" s="17"/>
      <c r="L11" s="17"/>
      <c r="M11" s="17"/>
      <c r="N11" s="17"/>
      <c r="O11" s="17"/>
      <c r="P11" s="17"/>
      <c r="Q11" s="17"/>
      <c r="R11" s="17"/>
      <c r="S11" s="17"/>
      <c r="T11" s="17"/>
      <c r="U11" s="17"/>
      <c r="V11" s="17"/>
    </row>
    <row r="12" spans="1:22" s="75" customFormat="1" ht="18.75" x14ac:dyDescent="0.2">
      <c r="A12" s="244" t="s">
        <v>481</v>
      </c>
      <c r="B12" s="244"/>
      <c r="C12" s="244"/>
      <c r="D12" s="18"/>
      <c r="E12" s="18"/>
      <c r="F12" s="18"/>
      <c r="G12" s="18"/>
      <c r="H12" s="18"/>
      <c r="I12" s="17"/>
      <c r="J12" s="17"/>
      <c r="K12" s="17"/>
      <c r="L12" s="17"/>
      <c r="M12" s="17"/>
      <c r="N12" s="17"/>
      <c r="O12" s="17"/>
      <c r="P12" s="17"/>
      <c r="Q12" s="17"/>
      <c r="R12" s="17"/>
      <c r="S12" s="17"/>
      <c r="T12" s="17"/>
      <c r="U12" s="17"/>
      <c r="V12" s="17"/>
    </row>
    <row r="13" spans="1:22" s="75" customFormat="1" ht="18.75" x14ac:dyDescent="0.2">
      <c r="A13" s="249" t="s">
        <v>3</v>
      </c>
      <c r="B13" s="249"/>
      <c r="C13" s="249"/>
      <c r="D13" s="15"/>
      <c r="E13" s="15"/>
      <c r="F13" s="15"/>
      <c r="G13" s="15"/>
      <c r="H13" s="15"/>
      <c r="I13" s="17"/>
      <c r="J13" s="17"/>
      <c r="K13" s="17"/>
      <c r="L13" s="17"/>
      <c r="M13" s="17"/>
      <c r="N13" s="17"/>
      <c r="O13" s="17"/>
      <c r="P13" s="17"/>
      <c r="Q13" s="17"/>
      <c r="R13" s="17"/>
      <c r="S13" s="17"/>
      <c r="T13" s="17"/>
      <c r="U13" s="17"/>
      <c r="V13" s="17"/>
    </row>
    <row r="14" spans="1:22" s="78"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50" t="str">
        <f>VLOOKUP(A12,'[1]6.2. отчет'!$A:$C,3,0)</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44"/>
      <c r="C15" s="244"/>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40" t="s">
        <v>2</v>
      </c>
      <c r="B16" s="240"/>
      <c r="C16" s="240"/>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1"/>
      <c r="B17" s="141"/>
      <c r="C17" s="141"/>
      <c r="D17" s="76"/>
      <c r="E17" s="76"/>
      <c r="F17" s="76"/>
      <c r="G17" s="76"/>
      <c r="H17" s="76"/>
      <c r="I17" s="76"/>
      <c r="J17" s="76"/>
      <c r="K17" s="76"/>
      <c r="L17" s="76"/>
      <c r="M17" s="76"/>
      <c r="N17" s="76"/>
      <c r="O17" s="76"/>
      <c r="P17" s="76"/>
      <c r="Q17" s="76"/>
      <c r="R17" s="76"/>
      <c r="S17" s="76"/>
    </row>
    <row r="18" spans="1:22" s="25" customFormat="1" ht="15" customHeight="1" x14ac:dyDescent="0.2">
      <c r="A18" s="241" t="s">
        <v>257</v>
      </c>
      <c r="B18" s="242"/>
      <c r="C18" s="242"/>
      <c r="D18" s="108"/>
      <c r="E18" s="108"/>
      <c r="F18" s="108"/>
      <c r="G18" s="108"/>
      <c r="H18" s="108"/>
      <c r="I18" s="108"/>
      <c r="J18" s="108"/>
      <c r="K18" s="108"/>
      <c r="L18" s="108"/>
      <c r="M18" s="108"/>
      <c r="N18" s="108"/>
      <c r="O18" s="108"/>
      <c r="P18" s="108"/>
      <c r="Q18" s="108"/>
      <c r="R18" s="108"/>
      <c r="S18" s="108"/>
      <c r="T18" s="108"/>
      <c r="U18" s="108"/>
      <c r="V18" s="108"/>
    </row>
    <row r="19" spans="1:22" s="25" customFormat="1" ht="15" customHeight="1" x14ac:dyDescent="0.2">
      <c r="A19" s="142"/>
      <c r="B19" s="142"/>
      <c r="C19" s="142"/>
      <c r="D19" s="15"/>
      <c r="E19" s="15"/>
      <c r="F19" s="15"/>
      <c r="G19" s="15"/>
      <c r="H19" s="15"/>
      <c r="I19" s="76"/>
      <c r="J19" s="76"/>
      <c r="K19" s="76"/>
      <c r="L19" s="76"/>
      <c r="M19" s="76"/>
      <c r="N19" s="76"/>
      <c r="O19" s="76"/>
      <c r="P19" s="76"/>
      <c r="Q19" s="76"/>
      <c r="R19" s="76"/>
      <c r="S19" s="76"/>
    </row>
    <row r="20" spans="1:22" s="25" customFormat="1" ht="39.75" customHeight="1" x14ac:dyDescent="0.2">
      <c r="A20" s="132" t="s">
        <v>1</v>
      </c>
      <c r="B20" s="143" t="s">
        <v>20</v>
      </c>
      <c r="C20" s="144" t="s">
        <v>19</v>
      </c>
      <c r="D20" s="126"/>
      <c r="E20" s="126"/>
      <c r="F20" s="126"/>
      <c r="G20" s="126"/>
      <c r="H20" s="126"/>
      <c r="I20" s="1"/>
      <c r="J20" s="1"/>
      <c r="K20" s="1"/>
      <c r="L20" s="1"/>
      <c r="M20" s="1"/>
      <c r="N20" s="1"/>
      <c r="O20" s="1"/>
      <c r="P20" s="1"/>
      <c r="Q20" s="1"/>
      <c r="R20" s="1"/>
      <c r="S20" s="1"/>
      <c r="T20" s="112"/>
      <c r="U20" s="112"/>
      <c r="V20" s="112"/>
    </row>
    <row r="21" spans="1:22" s="25" customFormat="1" ht="16.5" customHeight="1" x14ac:dyDescent="0.2">
      <c r="A21" s="144">
        <v>1</v>
      </c>
      <c r="B21" s="143">
        <v>2</v>
      </c>
      <c r="C21" s="144">
        <v>3</v>
      </c>
      <c r="D21" s="126"/>
      <c r="E21" s="126"/>
      <c r="F21" s="126"/>
      <c r="G21" s="126"/>
      <c r="H21" s="126"/>
      <c r="I21" s="1"/>
      <c r="J21" s="1"/>
      <c r="K21" s="1"/>
      <c r="L21" s="1"/>
      <c r="M21" s="1"/>
      <c r="N21" s="1"/>
      <c r="O21" s="1"/>
      <c r="P21" s="1"/>
      <c r="Q21" s="1"/>
      <c r="R21" s="1"/>
      <c r="S21" s="1"/>
      <c r="T21" s="112"/>
      <c r="U21" s="112"/>
      <c r="V21" s="112"/>
    </row>
    <row r="22" spans="1:22" s="25" customFormat="1" ht="39" customHeight="1" x14ac:dyDescent="0.2">
      <c r="A22" s="68" t="s">
        <v>18</v>
      </c>
      <c r="B22" s="145" t="s">
        <v>146</v>
      </c>
      <c r="C22" s="70" t="s">
        <v>628</v>
      </c>
      <c r="D22" s="126"/>
      <c r="E22" s="126"/>
      <c r="F22" s="126"/>
      <c r="G22" s="126"/>
      <c r="H22" s="126"/>
      <c r="I22" s="1"/>
      <c r="J22" s="1"/>
      <c r="K22" s="1"/>
      <c r="L22" s="1"/>
      <c r="M22" s="1"/>
      <c r="N22" s="1"/>
      <c r="O22" s="1"/>
      <c r="P22" s="1"/>
      <c r="Q22" s="1"/>
      <c r="R22" s="1"/>
      <c r="S22" s="1"/>
      <c r="T22" s="112"/>
      <c r="U22" s="112"/>
      <c r="V22" s="112"/>
    </row>
    <row r="23" spans="1:22" s="25" customFormat="1" ht="63" x14ac:dyDescent="0.2">
      <c r="A23" s="68" t="s">
        <v>17</v>
      </c>
      <c r="B23" s="69" t="s">
        <v>453</v>
      </c>
      <c r="C23" s="70" t="s">
        <v>629</v>
      </c>
      <c r="D23" s="126"/>
      <c r="E23" s="126"/>
      <c r="F23" s="126"/>
      <c r="G23" s="126"/>
      <c r="H23" s="126"/>
      <c r="I23" s="1"/>
      <c r="J23" s="1"/>
      <c r="K23" s="1"/>
      <c r="L23" s="1"/>
      <c r="M23" s="1"/>
      <c r="N23" s="1"/>
      <c r="O23" s="1"/>
      <c r="P23" s="1"/>
      <c r="Q23" s="1"/>
      <c r="R23" s="1"/>
      <c r="S23" s="1"/>
      <c r="T23" s="112"/>
      <c r="U23" s="112"/>
      <c r="V23" s="112"/>
    </row>
    <row r="24" spans="1:22" s="25" customFormat="1" ht="22.5" customHeight="1" x14ac:dyDescent="0.2">
      <c r="A24" s="246"/>
      <c r="B24" s="247"/>
      <c r="C24" s="248"/>
      <c r="D24" s="126"/>
      <c r="E24" s="126"/>
      <c r="F24" s="126"/>
      <c r="G24" s="126"/>
      <c r="H24" s="126"/>
      <c r="I24" s="1"/>
      <c r="J24" s="1"/>
      <c r="K24" s="1"/>
      <c r="L24" s="1"/>
      <c r="M24" s="1"/>
      <c r="N24" s="1"/>
      <c r="O24" s="1"/>
      <c r="P24" s="1"/>
      <c r="Q24" s="1"/>
      <c r="R24" s="1"/>
      <c r="S24" s="1"/>
      <c r="T24" s="112"/>
      <c r="U24" s="112"/>
      <c r="V24" s="112"/>
    </row>
    <row r="25" spans="1:22" s="25" customFormat="1" ht="58.5" customHeight="1" x14ac:dyDescent="0.2">
      <c r="A25" s="68" t="s">
        <v>16</v>
      </c>
      <c r="B25" s="70" t="s">
        <v>223</v>
      </c>
      <c r="C25" s="132" t="s">
        <v>630</v>
      </c>
      <c r="D25" s="126"/>
      <c r="E25" s="126"/>
      <c r="F25" s="126"/>
      <c r="G25" s="126"/>
      <c r="H25" s="1"/>
      <c r="I25" s="1"/>
      <c r="J25" s="1"/>
      <c r="K25" s="1"/>
      <c r="L25" s="1"/>
      <c r="M25" s="1"/>
      <c r="N25" s="1"/>
      <c r="O25" s="1"/>
      <c r="P25" s="1"/>
      <c r="Q25" s="1"/>
      <c r="R25" s="1"/>
      <c r="S25" s="112"/>
      <c r="T25" s="112"/>
      <c r="U25" s="112"/>
      <c r="V25" s="112"/>
    </row>
    <row r="26" spans="1:22" s="25" customFormat="1" ht="42.75" customHeight="1" x14ac:dyDescent="0.2">
      <c r="A26" s="68" t="s">
        <v>15</v>
      </c>
      <c r="B26" s="70" t="s">
        <v>28</v>
      </c>
      <c r="C26" s="132" t="s">
        <v>631</v>
      </c>
      <c r="D26" s="126"/>
      <c r="E26" s="126"/>
      <c r="F26" s="126"/>
      <c r="G26" s="126"/>
      <c r="H26" s="1"/>
      <c r="I26" s="1"/>
      <c r="J26" s="1"/>
      <c r="K26" s="1"/>
      <c r="L26" s="1"/>
      <c r="M26" s="1"/>
      <c r="N26" s="1"/>
      <c r="O26" s="1"/>
      <c r="P26" s="1"/>
      <c r="Q26" s="1"/>
      <c r="R26" s="1"/>
      <c r="S26" s="112"/>
      <c r="T26" s="112"/>
      <c r="U26" s="112"/>
      <c r="V26" s="112"/>
    </row>
    <row r="27" spans="1:22" s="25" customFormat="1" ht="47.25" x14ac:dyDescent="0.2">
      <c r="A27" s="68" t="s">
        <v>13</v>
      </c>
      <c r="B27" s="70" t="s">
        <v>27</v>
      </c>
      <c r="C27" s="132" t="s">
        <v>632</v>
      </c>
      <c r="D27" s="126"/>
      <c r="E27" s="126"/>
      <c r="F27" s="126"/>
      <c r="G27" s="126"/>
      <c r="H27" s="1"/>
      <c r="I27" s="1"/>
      <c r="J27" s="1"/>
      <c r="K27" s="1"/>
      <c r="L27" s="1"/>
      <c r="M27" s="1"/>
      <c r="N27" s="1"/>
      <c r="O27" s="1"/>
      <c r="P27" s="1"/>
      <c r="Q27" s="1"/>
      <c r="R27" s="1"/>
      <c r="S27" s="112"/>
      <c r="T27" s="112"/>
      <c r="U27" s="112"/>
      <c r="V27" s="112"/>
    </row>
    <row r="28" spans="1:22" s="25" customFormat="1" ht="42.75" customHeight="1" x14ac:dyDescent="0.2">
      <c r="A28" s="68" t="s">
        <v>12</v>
      </c>
      <c r="B28" s="70" t="s">
        <v>224</v>
      </c>
      <c r="C28" s="132" t="s">
        <v>265</v>
      </c>
      <c r="D28" s="126"/>
      <c r="E28" s="126"/>
      <c r="F28" s="126"/>
      <c r="G28" s="126"/>
      <c r="H28" s="1"/>
      <c r="I28" s="1"/>
      <c r="J28" s="1"/>
      <c r="K28" s="1"/>
      <c r="L28" s="1"/>
      <c r="M28" s="1"/>
      <c r="N28" s="1"/>
      <c r="O28" s="1"/>
      <c r="P28" s="1"/>
      <c r="Q28" s="1"/>
      <c r="R28" s="1"/>
      <c r="S28" s="112"/>
      <c r="T28" s="112"/>
      <c r="U28" s="112"/>
      <c r="V28" s="112"/>
    </row>
    <row r="29" spans="1:22" s="25" customFormat="1" ht="51.75" customHeight="1" x14ac:dyDescent="0.2">
      <c r="A29" s="68" t="s">
        <v>10</v>
      </c>
      <c r="B29" s="70" t="s">
        <v>225</v>
      </c>
      <c r="C29" s="132" t="s">
        <v>265</v>
      </c>
      <c r="D29" s="126"/>
      <c r="E29" s="126"/>
      <c r="F29" s="126"/>
      <c r="G29" s="126"/>
      <c r="H29" s="1"/>
      <c r="I29" s="1"/>
      <c r="J29" s="1"/>
      <c r="K29" s="1"/>
      <c r="L29" s="1"/>
      <c r="M29" s="1"/>
      <c r="N29" s="1"/>
      <c r="O29" s="1"/>
      <c r="P29" s="1"/>
      <c r="Q29" s="1"/>
      <c r="R29" s="1"/>
      <c r="S29" s="112"/>
      <c r="T29" s="112"/>
      <c r="U29" s="112"/>
      <c r="V29" s="112"/>
    </row>
    <row r="30" spans="1:22" s="25" customFormat="1" ht="51.75" customHeight="1" x14ac:dyDescent="0.2">
      <c r="A30" s="68" t="s">
        <v>8</v>
      </c>
      <c r="B30" s="70" t="s">
        <v>226</v>
      </c>
      <c r="C30" s="132" t="s">
        <v>265</v>
      </c>
      <c r="D30" s="126"/>
      <c r="E30" s="126"/>
      <c r="F30" s="126"/>
      <c r="G30" s="126"/>
      <c r="H30" s="1"/>
      <c r="I30" s="1"/>
      <c r="J30" s="1"/>
      <c r="K30" s="1"/>
      <c r="L30" s="1"/>
      <c r="M30" s="1"/>
      <c r="N30" s="1"/>
      <c r="O30" s="1"/>
      <c r="P30" s="1"/>
      <c r="Q30" s="1"/>
      <c r="R30" s="1"/>
      <c r="S30" s="112"/>
      <c r="T30" s="112"/>
      <c r="U30" s="112"/>
      <c r="V30" s="112"/>
    </row>
    <row r="31" spans="1:22" s="25" customFormat="1" ht="51.75" customHeight="1" x14ac:dyDescent="0.2">
      <c r="A31" s="68" t="s">
        <v>26</v>
      </c>
      <c r="B31" s="70" t="s">
        <v>227</v>
      </c>
      <c r="C31" s="132" t="s">
        <v>265</v>
      </c>
      <c r="D31" s="126"/>
      <c r="E31" s="126"/>
      <c r="F31" s="126"/>
      <c r="G31" s="126"/>
      <c r="H31" s="1"/>
      <c r="I31" s="1"/>
      <c r="J31" s="1"/>
      <c r="K31" s="1"/>
      <c r="L31" s="1"/>
      <c r="M31" s="1"/>
      <c r="N31" s="1"/>
      <c r="O31" s="1"/>
      <c r="P31" s="1"/>
      <c r="Q31" s="1"/>
      <c r="R31" s="1"/>
      <c r="S31" s="112"/>
      <c r="T31" s="112"/>
      <c r="U31" s="112"/>
      <c r="V31" s="112"/>
    </row>
    <row r="32" spans="1:22" s="25" customFormat="1" ht="51.75" customHeight="1" x14ac:dyDescent="0.2">
      <c r="A32" s="68" t="s">
        <v>24</v>
      </c>
      <c r="B32" s="70" t="s">
        <v>228</v>
      </c>
      <c r="C32" s="132" t="s">
        <v>265</v>
      </c>
      <c r="D32" s="126"/>
      <c r="E32" s="126"/>
      <c r="F32" s="126"/>
      <c r="G32" s="126"/>
      <c r="H32" s="1"/>
      <c r="I32" s="1"/>
      <c r="J32" s="1"/>
      <c r="K32" s="1"/>
      <c r="L32" s="1"/>
      <c r="M32" s="1"/>
      <c r="N32" s="1"/>
      <c r="O32" s="1"/>
      <c r="P32" s="1"/>
      <c r="Q32" s="1"/>
      <c r="R32" s="1"/>
      <c r="S32" s="112"/>
      <c r="T32" s="112"/>
      <c r="U32" s="112"/>
      <c r="V32" s="112"/>
    </row>
    <row r="33" spans="1:22" s="25" customFormat="1" ht="101.25" customHeight="1" x14ac:dyDescent="0.2">
      <c r="A33" s="68" t="s">
        <v>23</v>
      </c>
      <c r="B33" s="70" t="s">
        <v>229</v>
      </c>
      <c r="C33" s="132" t="s">
        <v>633</v>
      </c>
      <c r="D33" s="126"/>
      <c r="E33" s="126"/>
      <c r="F33" s="126"/>
      <c r="G33" s="126"/>
      <c r="H33" s="1"/>
      <c r="I33" s="1"/>
      <c r="J33" s="1"/>
      <c r="K33" s="1"/>
      <c r="L33" s="1"/>
      <c r="M33" s="1"/>
      <c r="N33" s="1"/>
      <c r="O33" s="1"/>
      <c r="P33" s="1"/>
      <c r="Q33" s="1"/>
      <c r="R33" s="1"/>
      <c r="S33" s="112"/>
      <c r="T33" s="112"/>
      <c r="U33" s="112"/>
      <c r="V33" s="112"/>
    </row>
    <row r="34" spans="1:22" ht="94.5" x14ac:dyDescent="0.25">
      <c r="A34" s="68" t="s">
        <v>237</v>
      </c>
      <c r="B34" s="70" t="s">
        <v>230</v>
      </c>
      <c r="C34" s="132" t="s">
        <v>452</v>
      </c>
      <c r="D34" s="116"/>
      <c r="E34" s="116"/>
      <c r="F34" s="116"/>
      <c r="G34" s="116"/>
      <c r="H34" s="116"/>
      <c r="I34" s="116"/>
      <c r="J34" s="116"/>
      <c r="K34" s="116"/>
      <c r="L34" s="116"/>
      <c r="M34" s="116"/>
      <c r="N34" s="116"/>
      <c r="O34" s="116"/>
      <c r="P34" s="116"/>
      <c r="Q34" s="116"/>
      <c r="R34" s="116"/>
      <c r="S34" s="116"/>
      <c r="T34" s="116"/>
      <c r="U34" s="116"/>
      <c r="V34" s="116"/>
    </row>
    <row r="35" spans="1:22" ht="47.25" x14ac:dyDescent="0.25">
      <c r="A35" s="68" t="s">
        <v>233</v>
      </c>
      <c r="B35" s="70" t="s">
        <v>25</v>
      </c>
      <c r="C35" s="132" t="s">
        <v>265</v>
      </c>
      <c r="D35" s="116"/>
      <c r="E35" s="116"/>
      <c r="F35" s="116"/>
      <c r="G35" s="116"/>
      <c r="H35" s="116"/>
      <c r="I35" s="116"/>
      <c r="J35" s="116"/>
      <c r="K35" s="116"/>
      <c r="L35" s="116"/>
      <c r="M35" s="116"/>
      <c r="N35" s="116"/>
      <c r="O35" s="116"/>
      <c r="P35" s="116"/>
      <c r="Q35" s="116"/>
      <c r="R35" s="116"/>
      <c r="S35" s="116"/>
      <c r="T35" s="116"/>
      <c r="U35" s="116"/>
      <c r="V35" s="116"/>
    </row>
    <row r="36" spans="1:22" ht="31.5" x14ac:dyDescent="0.25">
      <c r="A36" s="68" t="s">
        <v>238</v>
      </c>
      <c r="B36" s="70" t="s">
        <v>231</v>
      </c>
      <c r="C36" s="132" t="s">
        <v>634</v>
      </c>
      <c r="D36" s="116"/>
      <c r="E36" s="116"/>
      <c r="F36" s="116"/>
      <c r="G36" s="116"/>
      <c r="H36" s="116"/>
      <c r="I36" s="116"/>
      <c r="J36" s="116"/>
      <c r="K36" s="116"/>
      <c r="L36" s="116"/>
      <c r="M36" s="116"/>
      <c r="N36" s="116"/>
      <c r="O36" s="116"/>
      <c r="P36" s="116"/>
      <c r="Q36" s="116"/>
      <c r="R36" s="116"/>
      <c r="S36" s="116"/>
      <c r="T36" s="116"/>
      <c r="U36" s="116"/>
      <c r="V36" s="116"/>
    </row>
    <row r="37" spans="1:22" ht="15.75" x14ac:dyDescent="0.25">
      <c r="A37" s="68" t="s">
        <v>234</v>
      </c>
      <c r="B37" s="70" t="s">
        <v>232</v>
      </c>
      <c r="C37" s="132" t="s">
        <v>634</v>
      </c>
      <c r="D37" s="116"/>
      <c r="E37" s="116"/>
      <c r="F37" s="116"/>
      <c r="G37" s="116"/>
      <c r="H37" s="116"/>
      <c r="I37" s="116"/>
      <c r="J37" s="116"/>
      <c r="K37" s="116"/>
      <c r="L37" s="116"/>
      <c r="M37" s="116"/>
      <c r="N37" s="116"/>
      <c r="O37" s="116"/>
      <c r="P37" s="116"/>
      <c r="Q37" s="116"/>
      <c r="R37" s="116"/>
      <c r="S37" s="116"/>
      <c r="T37" s="116"/>
      <c r="U37" s="116"/>
      <c r="V37" s="116"/>
    </row>
    <row r="38" spans="1:22" ht="15.75" x14ac:dyDescent="0.25">
      <c r="A38" s="68" t="s">
        <v>239</v>
      </c>
      <c r="B38" s="70" t="s">
        <v>143</v>
      </c>
      <c r="C38" s="132" t="s">
        <v>265</v>
      </c>
      <c r="D38" s="116"/>
      <c r="E38" s="116"/>
      <c r="F38" s="116"/>
      <c r="G38" s="116"/>
      <c r="H38" s="116"/>
      <c r="I38" s="116"/>
      <c r="J38" s="116"/>
      <c r="K38" s="116"/>
      <c r="L38" s="116"/>
      <c r="M38" s="116"/>
      <c r="N38" s="116"/>
      <c r="O38" s="116"/>
      <c r="P38" s="116"/>
      <c r="Q38" s="116"/>
      <c r="R38" s="116"/>
      <c r="S38" s="116"/>
      <c r="T38" s="116"/>
      <c r="U38" s="116"/>
      <c r="V38" s="116"/>
    </row>
    <row r="39" spans="1:22" ht="15.75" x14ac:dyDescent="0.25">
      <c r="A39" s="246"/>
      <c r="B39" s="247"/>
      <c r="C39" s="248"/>
      <c r="D39" s="116"/>
      <c r="E39" s="116"/>
      <c r="F39" s="116"/>
      <c r="G39" s="116"/>
      <c r="H39" s="116"/>
      <c r="I39" s="116"/>
      <c r="J39" s="116"/>
      <c r="K39" s="116"/>
      <c r="L39" s="116"/>
      <c r="M39" s="116"/>
      <c r="N39" s="116"/>
      <c r="O39" s="116"/>
      <c r="P39" s="116"/>
      <c r="Q39" s="116"/>
      <c r="R39" s="116"/>
      <c r="S39" s="116"/>
      <c r="T39" s="116"/>
      <c r="U39" s="116"/>
      <c r="V39" s="116"/>
    </row>
    <row r="40" spans="1:22" ht="110.25" x14ac:dyDescent="0.25">
      <c r="A40" s="68" t="s">
        <v>235</v>
      </c>
      <c r="B40" s="70" t="s">
        <v>448</v>
      </c>
      <c r="C40" s="132" t="s">
        <v>635</v>
      </c>
      <c r="D40" s="245"/>
      <c r="E40" s="116"/>
      <c r="F40" s="116"/>
      <c r="G40" s="116"/>
      <c r="H40" s="116"/>
      <c r="I40" s="116"/>
      <c r="J40" s="116"/>
      <c r="K40" s="116"/>
      <c r="L40" s="116"/>
      <c r="M40" s="116"/>
      <c r="N40" s="116"/>
      <c r="O40" s="116"/>
      <c r="P40" s="116"/>
      <c r="Q40" s="116"/>
      <c r="R40" s="116"/>
      <c r="S40" s="116"/>
      <c r="T40" s="116"/>
      <c r="U40" s="116"/>
      <c r="V40" s="116"/>
    </row>
    <row r="41" spans="1:22" ht="94.5" x14ac:dyDescent="0.25">
      <c r="A41" s="71" t="s">
        <v>240</v>
      </c>
      <c r="B41" s="11" t="s">
        <v>438</v>
      </c>
      <c r="C41" s="132" t="s">
        <v>265</v>
      </c>
      <c r="D41" s="245"/>
      <c r="E41" s="116"/>
      <c r="F41" s="116"/>
      <c r="G41" s="116"/>
      <c r="H41" s="116"/>
      <c r="I41" s="116"/>
      <c r="J41" s="116"/>
      <c r="K41" s="116"/>
      <c r="L41" s="116"/>
      <c r="M41" s="116"/>
      <c r="N41" s="116"/>
      <c r="O41" s="116"/>
      <c r="P41" s="116"/>
      <c r="Q41" s="116"/>
      <c r="R41" s="116"/>
      <c r="S41" s="116"/>
      <c r="T41" s="116"/>
      <c r="U41" s="116"/>
      <c r="V41" s="116"/>
    </row>
    <row r="42" spans="1:22" ht="201" customHeight="1" x14ac:dyDescent="0.25">
      <c r="A42" s="71" t="s">
        <v>236</v>
      </c>
      <c r="B42" s="11" t="s">
        <v>439</v>
      </c>
      <c r="C42" s="132" t="s">
        <v>636</v>
      </c>
      <c r="D42" s="245"/>
      <c r="E42" s="116"/>
      <c r="F42" s="116"/>
      <c r="G42" s="116"/>
      <c r="H42" s="116"/>
      <c r="I42" s="116"/>
      <c r="J42" s="116"/>
      <c r="K42" s="116"/>
      <c r="L42" s="116"/>
      <c r="M42" s="116"/>
      <c r="N42" s="116"/>
      <c r="O42" s="116"/>
      <c r="P42" s="116"/>
      <c r="Q42" s="116"/>
      <c r="R42" s="116"/>
      <c r="S42" s="116"/>
      <c r="T42" s="116"/>
      <c r="U42" s="116"/>
      <c r="V42" s="116"/>
    </row>
    <row r="43" spans="1:22" ht="173.25" x14ac:dyDescent="0.25">
      <c r="A43" s="71" t="s">
        <v>266</v>
      </c>
      <c r="B43" s="11" t="s">
        <v>440</v>
      </c>
      <c r="C43" s="132" t="s">
        <v>265</v>
      </c>
      <c r="D43" s="245"/>
      <c r="E43" s="116"/>
      <c r="F43" s="116"/>
      <c r="G43" s="116"/>
      <c r="H43" s="116"/>
      <c r="I43" s="116"/>
      <c r="J43" s="116"/>
      <c r="K43" s="116"/>
      <c r="L43" s="116"/>
      <c r="M43" s="116"/>
      <c r="N43" s="116"/>
      <c r="O43" s="116"/>
      <c r="P43" s="116"/>
      <c r="Q43" s="116"/>
      <c r="R43" s="116"/>
      <c r="S43" s="116"/>
      <c r="T43" s="116"/>
      <c r="U43" s="116"/>
      <c r="V43" s="116"/>
    </row>
    <row r="44" spans="1:22" ht="101.25" customHeight="1" x14ac:dyDescent="0.25">
      <c r="A44" s="71" t="s">
        <v>274</v>
      </c>
      <c r="B44" s="11" t="s">
        <v>441</v>
      </c>
      <c r="C44" s="132" t="s">
        <v>265</v>
      </c>
      <c r="D44" s="245"/>
      <c r="E44" s="116"/>
      <c r="F44" s="116"/>
      <c r="G44" s="116"/>
      <c r="H44" s="116"/>
      <c r="I44" s="116"/>
      <c r="J44" s="116"/>
      <c r="K44" s="116"/>
      <c r="L44" s="116"/>
      <c r="M44" s="116"/>
      <c r="N44" s="116"/>
      <c r="O44" s="116"/>
      <c r="P44" s="116"/>
      <c r="Q44" s="116"/>
      <c r="R44" s="116"/>
      <c r="S44" s="116"/>
      <c r="T44" s="116"/>
      <c r="U44" s="116"/>
      <c r="V44" s="116"/>
    </row>
    <row r="45" spans="1:22" ht="78.75" x14ac:dyDescent="0.25">
      <c r="A45" s="71" t="s">
        <v>442</v>
      </c>
      <c r="B45" s="11" t="s">
        <v>443</v>
      </c>
      <c r="C45" s="132" t="s">
        <v>265</v>
      </c>
      <c r="D45" s="245"/>
      <c r="E45" s="116"/>
      <c r="F45" s="116"/>
      <c r="G45" s="116"/>
      <c r="H45" s="116"/>
      <c r="I45" s="116"/>
      <c r="J45" s="116"/>
      <c r="K45" s="116"/>
      <c r="L45" s="116"/>
      <c r="M45" s="116"/>
      <c r="N45" s="116"/>
      <c r="O45" s="116"/>
      <c r="P45" s="116"/>
      <c r="Q45" s="116"/>
      <c r="R45" s="116"/>
      <c r="S45" s="116"/>
      <c r="T45" s="116"/>
      <c r="U45" s="116"/>
      <c r="V45" s="116"/>
    </row>
    <row r="46" spans="1:22" ht="78.75" customHeight="1" x14ac:dyDescent="0.25">
      <c r="A46" s="71" t="s">
        <v>444</v>
      </c>
      <c r="B46" s="11" t="s">
        <v>258</v>
      </c>
      <c r="C46" s="132" t="s">
        <v>637</v>
      </c>
      <c r="D46" s="116"/>
      <c r="E46" s="116"/>
      <c r="F46" s="116"/>
      <c r="G46" s="116"/>
      <c r="H46" s="116"/>
      <c r="I46" s="116"/>
      <c r="J46" s="116"/>
      <c r="K46" s="116"/>
      <c r="L46" s="116"/>
      <c r="M46" s="116"/>
      <c r="N46" s="116"/>
      <c r="O46" s="116"/>
      <c r="P46" s="116"/>
      <c r="Q46" s="116"/>
      <c r="R46" s="116"/>
      <c r="S46" s="116"/>
      <c r="T46" s="116"/>
      <c r="U46" s="116"/>
      <c r="V46" s="116"/>
    </row>
    <row r="47" spans="1:22" ht="22.5" customHeight="1" x14ac:dyDescent="0.25">
      <c r="A47" s="71"/>
      <c r="B47" s="11"/>
      <c r="C47" s="72"/>
      <c r="D47" s="116"/>
      <c r="E47" s="116"/>
      <c r="F47" s="116"/>
      <c r="G47" s="116"/>
      <c r="H47" s="116"/>
      <c r="I47" s="116"/>
      <c r="J47" s="116"/>
      <c r="K47" s="116"/>
      <c r="L47" s="116"/>
      <c r="M47" s="116"/>
      <c r="N47" s="116"/>
      <c r="O47" s="116"/>
      <c r="P47" s="116"/>
      <c r="Q47" s="116"/>
      <c r="R47" s="116"/>
      <c r="S47" s="116"/>
      <c r="T47" s="116"/>
      <c r="U47" s="116"/>
      <c r="V47" s="116"/>
    </row>
    <row r="48" spans="1:22" ht="71.25" customHeight="1" x14ac:dyDescent="0.25">
      <c r="A48" s="71" t="s">
        <v>445</v>
      </c>
      <c r="B48" s="11" t="s">
        <v>261</v>
      </c>
      <c r="C48" s="146">
        <f>'6.2. Паспорт фин осв ввод'!C24</f>
        <v>125.10096569299998</v>
      </c>
      <c r="D48" s="116"/>
      <c r="E48" s="116"/>
      <c r="F48" s="116"/>
      <c r="G48" s="116"/>
      <c r="H48" s="116"/>
      <c r="I48" s="116"/>
      <c r="J48" s="116"/>
      <c r="K48" s="116"/>
      <c r="L48" s="116"/>
      <c r="M48" s="116"/>
      <c r="N48" s="116"/>
      <c r="O48" s="116"/>
      <c r="P48" s="116"/>
      <c r="Q48" s="116"/>
      <c r="R48" s="116"/>
      <c r="S48" s="116"/>
      <c r="T48" s="116"/>
      <c r="U48" s="116"/>
      <c r="V48" s="116"/>
    </row>
    <row r="49" spans="1:22" ht="72.75" customHeight="1" x14ac:dyDescent="0.25">
      <c r="A49" s="71" t="s">
        <v>446</v>
      </c>
      <c r="B49" s="11" t="s">
        <v>262</v>
      </c>
      <c r="C49" s="146">
        <f>'6.2. Паспорт фин осв ввод'!C30</f>
        <v>104.91409443999999</v>
      </c>
      <c r="D49" s="116"/>
      <c r="E49" s="116"/>
      <c r="F49" s="116"/>
      <c r="G49" s="116"/>
      <c r="H49" s="116"/>
      <c r="I49" s="116"/>
      <c r="J49" s="116"/>
      <c r="K49" s="116"/>
      <c r="L49" s="116"/>
      <c r="M49" s="116"/>
      <c r="N49" s="116"/>
      <c r="O49" s="116"/>
      <c r="P49" s="116"/>
      <c r="Q49" s="116"/>
      <c r="R49" s="116"/>
      <c r="S49" s="116"/>
      <c r="T49" s="116"/>
      <c r="U49" s="116"/>
      <c r="V49" s="116"/>
    </row>
    <row r="50" spans="1:22"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row>
    <row r="51" spans="1:22"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row>
    <row r="52" spans="1:22"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row>
    <row r="53" spans="1:22"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row>
    <row r="54" spans="1:22"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row>
    <row r="55" spans="1:22"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row>
    <row r="56" spans="1:22"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row>
    <row r="57" spans="1:22"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row>
    <row r="58" spans="1:22"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row>
    <row r="59" spans="1:22"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row>
    <row r="60" spans="1:22"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row>
    <row r="61" spans="1:22"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row>
    <row r="62" spans="1:22"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row>
    <row r="63" spans="1:22"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row>
    <row r="64" spans="1:22"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row>
    <row r="65" spans="1:22"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row>
    <row r="66" spans="1:22"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row>
    <row r="67" spans="1:22"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row>
    <row r="68" spans="1:22"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row>
    <row r="69" spans="1:22"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row>
    <row r="70" spans="1:22"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row>
    <row r="71" spans="1:22"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row>
    <row r="72" spans="1:22"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row>
    <row r="73" spans="1:22"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row>
    <row r="74" spans="1:22"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row>
    <row r="75" spans="1:22"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row>
    <row r="76" spans="1:22"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row>
    <row r="77" spans="1:22"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row>
    <row r="78" spans="1:22"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row>
    <row r="79" spans="1:22"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row>
    <row r="80" spans="1:22"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row>
    <row r="81" spans="1:22"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row>
    <row r="82" spans="1:22"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row>
    <row r="83" spans="1:22"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row>
    <row r="84" spans="1:22"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row>
    <row r="85" spans="1:22"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row>
    <row r="86" spans="1:22"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row>
    <row r="87" spans="1:22"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row>
    <row r="88" spans="1:22"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row>
    <row r="89" spans="1:22"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row>
    <row r="90" spans="1:22"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row>
    <row r="91" spans="1:22"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row>
    <row r="92" spans="1:22"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row>
    <row r="93" spans="1:22"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row>
    <row r="94" spans="1:22"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row>
    <row r="95" spans="1:22"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row>
    <row r="96" spans="1:22"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row>
    <row r="97" spans="1:22"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row>
    <row r="98" spans="1:22"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row>
    <row r="99" spans="1:22"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row>
    <row r="100" spans="1:22"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row>
    <row r="101" spans="1:22"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row>
    <row r="102" spans="1:22"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row>
    <row r="103" spans="1:22"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row>
    <row r="104" spans="1:22"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row>
    <row r="105" spans="1:22"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row>
    <row r="106" spans="1:22"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row>
    <row r="107" spans="1:22"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row>
    <row r="108" spans="1:22"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row>
    <row r="109" spans="1:22"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row>
    <row r="110" spans="1:22"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row>
    <row r="111" spans="1:22"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row>
    <row r="112" spans="1:22"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row>
    <row r="113" spans="1:22"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row>
    <row r="114" spans="1:22"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row>
    <row r="115" spans="1:22"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row>
    <row r="116" spans="1:22"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row>
    <row r="117" spans="1:22"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row>
    <row r="118" spans="1:22"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row>
    <row r="119" spans="1:22"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row>
    <row r="120" spans="1:22"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row>
    <row r="121" spans="1:22"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row>
    <row r="122" spans="1:22"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row>
    <row r="123" spans="1:22"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row>
    <row r="124" spans="1:22"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row>
    <row r="125" spans="1:22"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row>
    <row r="126" spans="1:22"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row>
    <row r="127" spans="1:22"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row>
    <row r="128" spans="1:22"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row>
    <row r="129" spans="1:22"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row>
    <row r="130" spans="1:22"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row>
    <row r="131" spans="1:22"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row>
    <row r="132" spans="1:22"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row>
    <row r="133" spans="1:22"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row>
    <row r="134" spans="1:22"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row>
    <row r="135" spans="1:22"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row>
    <row r="136" spans="1:22"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row>
    <row r="137" spans="1:22"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row>
    <row r="138" spans="1:22"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row>
    <row r="139" spans="1:22"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row>
    <row r="140" spans="1:22"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row>
    <row r="141" spans="1:22"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row>
    <row r="142" spans="1:22"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row>
    <row r="143" spans="1:22"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row>
    <row r="144" spans="1:22"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row>
    <row r="145" spans="1:22"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row>
    <row r="146" spans="1:22"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row>
    <row r="147" spans="1:22"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row>
    <row r="148" spans="1:22"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row>
    <row r="149" spans="1:22"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row>
    <row r="150" spans="1:22"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row>
    <row r="151" spans="1:22"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row>
    <row r="152" spans="1:22"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row>
    <row r="153" spans="1:22"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row>
    <row r="154" spans="1:22"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row>
    <row r="155" spans="1:22"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row>
    <row r="156" spans="1:22"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row>
    <row r="157" spans="1:22"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row>
    <row r="158" spans="1:22"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row>
    <row r="159" spans="1:22"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row>
    <row r="160" spans="1:22"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row>
    <row r="161" spans="1:22"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row>
    <row r="162" spans="1:22"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row>
    <row r="163" spans="1:22"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row>
    <row r="164" spans="1:22"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row>
    <row r="165" spans="1:22"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row>
    <row r="166" spans="1:22"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row>
    <row r="167" spans="1:22"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row>
    <row r="168" spans="1:22"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row>
    <row r="169" spans="1:22"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row>
    <row r="170" spans="1:22"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row>
    <row r="171" spans="1:22"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row>
    <row r="172" spans="1:22"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row>
    <row r="173" spans="1:22"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row>
    <row r="174" spans="1:22"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row>
    <row r="175" spans="1:22"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row>
    <row r="176" spans="1:22"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row>
    <row r="177" spans="1:22"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row>
    <row r="178" spans="1:22"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row>
    <row r="179" spans="1:22"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row>
    <row r="180" spans="1:22"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row>
    <row r="181" spans="1:22"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row>
    <row r="182" spans="1:22"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row>
    <row r="183" spans="1:22"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row>
    <row r="184" spans="1:22"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row>
    <row r="185" spans="1:22"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row>
    <row r="186" spans="1:22"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row>
    <row r="187" spans="1:22"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row>
    <row r="188" spans="1:22"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row>
    <row r="189" spans="1:22"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row>
    <row r="190" spans="1:22"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row>
    <row r="191" spans="1:22"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row>
    <row r="192" spans="1:22"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row>
    <row r="193" spans="1:22"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row>
    <row r="194" spans="1:22"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row>
    <row r="195" spans="1:22"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row>
    <row r="196" spans="1:22"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row>
    <row r="197" spans="1:22"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row>
    <row r="198" spans="1:22"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row>
    <row r="199" spans="1:22"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row>
    <row r="200" spans="1:22"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row>
    <row r="201" spans="1:22"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row>
    <row r="202" spans="1:22"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row>
    <row r="203" spans="1:22"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row>
    <row r="204" spans="1:22"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row>
    <row r="205" spans="1:22"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row>
    <row r="206" spans="1:22"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row>
    <row r="207" spans="1:22"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row>
    <row r="208" spans="1:22"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row>
    <row r="209" spans="1:22"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row>
    <row r="210" spans="1:22"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row>
    <row r="211" spans="1:22"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row>
    <row r="212" spans="1:22"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row>
    <row r="213" spans="1:22"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row>
    <row r="214" spans="1:22"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row>
    <row r="215" spans="1:22"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row>
    <row r="216" spans="1:22"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row>
    <row r="217" spans="1:22"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row>
    <row r="218" spans="1:22"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row>
    <row r="219" spans="1:22"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row>
    <row r="220" spans="1:22"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row>
    <row r="221" spans="1:22"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row>
    <row r="222" spans="1:22"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row>
    <row r="223" spans="1:22"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row>
    <row r="224" spans="1:22"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row>
    <row r="225" spans="1:22"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row>
    <row r="226" spans="1:22"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row>
    <row r="227" spans="1:22"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row>
    <row r="228" spans="1:22"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row>
    <row r="229" spans="1:22"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row>
    <row r="230" spans="1:22"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row>
    <row r="231" spans="1:22"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row>
    <row r="232" spans="1:22"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row>
    <row r="233" spans="1:22"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row>
    <row r="234" spans="1:22"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row>
    <row r="235" spans="1:22"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row>
    <row r="236" spans="1:22"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row>
    <row r="237" spans="1:22"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row>
    <row r="238" spans="1:22"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row>
    <row r="239" spans="1:22"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row>
    <row r="240" spans="1:22"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row>
    <row r="241" spans="1:22"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row>
    <row r="242" spans="1:22"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row>
    <row r="243" spans="1:22"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row>
    <row r="244" spans="1:22"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row>
    <row r="245" spans="1:22"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row>
    <row r="246" spans="1:22"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row>
    <row r="247" spans="1:22"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row>
    <row r="248" spans="1:22"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row>
    <row r="249" spans="1:22"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row>
    <row r="250" spans="1:22"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row>
    <row r="251" spans="1:22"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row>
    <row r="252" spans="1:22"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row>
    <row r="253" spans="1:22"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row>
    <row r="254" spans="1:22"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row>
    <row r="255" spans="1:22"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row>
    <row r="256" spans="1:22"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row>
    <row r="257" spans="1:22"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row>
    <row r="258" spans="1:22"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row>
    <row r="259" spans="1:22"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row>
    <row r="260" spans="1:22"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row>
    <row r="261" spans="1:22"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row>
    <row r="262" spans="1:22"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row>
    <row r="263" spans="1:22"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row>
    <row r="264" spans="1:22"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row>
    <row r="265" spans="1:22"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row>
    <row r="266" spans="1:22"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row>
    <row r="267" spans="1:22"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row>
    <row r="268" spans="1:22"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row>
    <row r="269" spans="1:22"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row>
    <row r="270" spans="1:22"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row>
    <row r="271" spans="1:22"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row>
    <row r="272" spans="1:22"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row>
    <row r="273" spans="1:22"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row>
    <row r="274" spans="1:22"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row>
    <row r="275" spans="1:22"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row>
    <row r="276" spans="1:22"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row>
    <row r="277" spans="1:22"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row>
    <row r="278" spans="1:22"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row>
    <row r="279" spans="1:22"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row>
    <row r="280" spans="1:22"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row>
    <row r="281" spans="1:22"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row>
    <row r="282" spans="1:22"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row>
    <row r="283" spans="1:22"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row>
    <row r="284" spans="1:22"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row>
    <row r="285" spans="1:22"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row>
    <row r="286" spans="1:22"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row>
    <row r="287" spans="1:22"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row>
    <row r="288" spans="1:22"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row>
    <row r="289" spans="1:22"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row>
    <row r="290" spans="1:22"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row>
    <row r="291" spans="1:22"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row>
    <row r="292" spans="1:22"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row>
    <row r="293" spans="1:22"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row>
    <row r="294" spans="1:22"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row>
    <row r="295" spans="1:22"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row>
    <row r="296" spans="1:22"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row>
    <row r="297" spans="1:22"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row>
    <row r="298" spans="1:22"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row>
    <row r="299" spans="1:22"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row>
    <row r="300" spans="1:22"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row>
    <row r="301" spans="1:22"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row>
    <row r="302" spans="1:22"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row>
    <row r="303" spans="1:22"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row>
    <row r="304" spans="1:22"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row>
    <row r="305" spans="1:22"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row>
    <row r="306" spans="1:22"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row>
    <row r="307" spans="1:22"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row>
    <row r="308" spans="1:22"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row>
    <row r="309" spans="1:22"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row>
    <row r="310" spans="1:22"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row>
    <row r="311" spans="1:22"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row>
    <row r="312" spans="1:22"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row>
    <row r="313" spans="1:22"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row>
    <row r="314" spans="1:22"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row>
    <row r="315" spans="1:22"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row>
    <row r="316" spans="1:22"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row>
    <row r="317" spans="1:22"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row>
    <row r="318" spans="1:22"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row>
    <row r="319" spans="1:22"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row>
    <row r="320" spans="1:22"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row>
    <row r="321" spans="1:22"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row>
    <row r="322" spans="1:22"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row>
    <row r="323" spans="1:22"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row>
    <row r="324" spans="1:22"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row>
    <row r="325" spans="1:22"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row>
    <row r="326" spans="1:22"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row>
    <row r="327" spans="1:22"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row>
    <row r="328" spans="1:22"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P75"/>
  <sheetViews>
    <sheetView topLeftCell="A10" zoomScale="60" zoomScaleNormal="60" workbookViewId="0">
      <selection activeCell="D29" sqref="D29"/>
    </sheetView>
  </sheetViews>
  <sheetFormatPr defaultColWidth="9.140625" defaultRowHeight="15.75" x14ac:dyDescent="0.25"/>
  <cols>
    <col min="1" max="1" width="9.140625" style="44"/>
    <col min="2" max="2" width="57.85546875" style="44" customWidth="1"/>
    <col min="3" max="3" width="13" style="44" customWidth="1"/>
    <col min="4" max="4" width="17.85546875" style="45" customWidth="1"/>
    <col min="5" max="5" width="20.42578125" style="45" customWidth="1"/>
    <col min="6" max="6" width="18.7109375" style="45" customWidth="1"/>
    <col min="7" max="7" width="12.85546875" style="44" customWidth="1"/>
    <col min="8" max="11" width="10" style="44" customWidth="1"/>
    <col min="12" max="13" width="9.140625" style="44"/>
    <col min="14" max="14" width="21.28515625" style="44" customWidth="1"/>
    <col min="15" max="16384" width="9.140625" style="44"/>
  </cols>
  <sheetData>
    <row r="1" spans="1:11" ht="18.75" x14ac:dyDescent="0.25">
      <c r="K1" s="16" t="s">
        <v>22</v>
      </c>
    </row>
    <row r="2" spans="1:11" ht="18.75" x14ac:dyDescent="0.3">
      <c r="K2" s="14" t="s">
        <v>6</v>
      </c>
    </row>
    <row r="3" spans="1:11" x14ac:dyDescent="0.25">
      <c r="A3" s="244"/>
      <c r="B3" s="244"/>
      <c r="C3" s="244"/>
      <c r="D3" s="244"/>
      <c r="E3" s="244"/>
      <c r="F3" s="244"/>
      <c r="G3" s="244"/>
      <c r="H3" s="244"/>
      <c r="I3" s="244"/>
      <c r="J3" s="244"/>
      <c r="K3" s="244"/>
    </row>
    <row r="4" spans="1:11" s="75" customFormat="1" x14ac:dyDescent="0.2">
      <c r="A4" s="325" t="str">
        <f>'1. паспорт местоположение'!A5</f>
        <v>Год раскрытия информации: 2025 год</v>
      </c>
      <c r="B4" s="325"/>
      <c r="C4" s="325"/>
      <c r="D4" s="325"/>
      <c r="E4" s="325"/>
      <c r="F4" s="325"/>
      <c r="G4" s="325"/>
      <c r="H4" s="325"/>
      <c r="I4" s="325"/>
      <c r="J4" s="325"/>
      <c r="K4" s="325"/>
    </row>
    <row r="5" spans="1:11" s="75" customFormat="1" x14ac:dyDescent="0.2">
      <c r="A5" s="151"/>
      <c r="B5" s="149"/>
      <c r="C5" s="149"/>
      <c r="D5" s="149"/>
      <c r="E5" s="149"/>
      <c r="F5" s="149"/>
      <c r="G5" s="151"/>
      <c r="H5" s="151"/>
      <c r="I5" s="151"/>
      <c r="J5" s="151"/>
      <c r="K5" s="151"/>
    </row>
    <row r="6" spans="1:11" s="75" customFormat="1" x14ac:dyDescent="0.2">
      <c r="A6" s="325" t="str">
        <f>'1. паспорт местоположение'!A7</f>
        <v xml:space="preserve">Паспорт инвестиционного проекта </v>
      </c>
      <c r="B6" s="325"/>
      <c r="C6" s="325"/>
      <c r="D6" s="325"/>
      <c r="E6" s="325"/>
      <c r="F6" s="325"/>
      <c r="G6" s="325"/>
      <c r="H6" s="325"/>
      <c r="I6" s="325"/>
      <c r="J6" s="325"/>
      <c r="K6" s="325"/>
    </row>
    <row r="7" spans="1:11" s="75" customFormat="1" ht="18.75" x14ac:dyDescent="0.2">
      <c r="A7" s="147"/>
      <c r="B7" s="147"/>
      <c r="C7" s="147"/>
      <c r="D7" s="147"/>
      <c r="E7" s="147"/>
      <c r="F7" s="147"/>
      <c r="G7" s="147"/>
      <c r="H7" s="147"/>
      <c r="I7" s="147"/>
      <c r="J7" s="147"/>
      <c r="K7" s="147"/>
    </row>
    <row r="8" spans="1:11" s="75" customFormat="1" x14ac:dyDescent="0.2">
      <c r="A8" s="325" t="str">
        <f>'1. паспорт местоположение'!A9</f>
        <v>АО "Чеченэнерго"</v>
      </c>
      <c r="B8" s="325"/>
      <c r="C8" s="325"/>
      <c r="D8" s="325"/>
      <c r="E8" s="325"/>
      <c r="F8" s="325"/>
      <c r="G8" s="325"/>
      <c r="H8" s="325"/>
      <c r="I8" s="325"/>
      <c r="J8" s="325"/>
      <c r="K8" s="325"/>
    </row>
    <row r="9" spans="1:11" s="75" customFormat="1" x14ac:dyDescent="0.2">
      <c r="A9" s="249" t="str">
        <f>'1. паспорт местоположение'!A10</f>
        <v xml:space="preserve">         (фирменное наименование субъекта электроэнергетики)</v>
      </c>
      <c r="B9" s="249"/>
      <c r="C9" s="249"/>
      <c r="D9" s="249"/>
      <c r="E9" s="249"/>
      <c r="F9" s="249"/>
      <c r="G9" s="249"/>
      <c r="H9" s="249"/>
      <c r="I9" s="249"/>
      <c r="J9" s="249"/>
      <c r="K9" s="249"/>
    </row>
    <row r="10" spans="1:11" s="75" customFormat="1" ht="18.75" x14ac:dyDescent="0.2">
      <c r="A10" s="147"/>
      <c r="B10" s="147"/>
      <c r="C10" s="147"/>
      <c r="D10" s="147"/>
      <c r="E10" s="147"/>
      <c r="F10" s="147"/>
      <c r="G10" s="147"/>
      <c r="H10" s="147"/>
      <c r="I10" s="147"/>
      <c r="J10" s="147"/>
      <c r="K10" s="147"/>
    </row>
    <row r="11" spans="1:11" s="75" customFormat="1" x14ac:dyDescent="0.2">
      <c r="A11" s="244" t="str">
        <f>'1. паспорт местоположение'!A12</f>
        <v>L_Che367</v>
      </c>
      <c r="B11" s="244"/>
      <c r="C11" s="244"/>
      <c r="D11" s="244"/>
      <c r="E11" s="244"/>
      <c r="F11" s="244"/>
      <c r="G11" s="244"/>
      <c r="H11" s="244"/>
      <c r="I11" s="244"/>
      <c r="J11" s="244"/>
      <c r="K11" s="244"/>
    </row>
    <row r="12" spans="1:11" s="75" customFormat="1" x14ac:dyDescent="0.2">
      <c r="A12" s="249" t="str">
        <f>'1. паспорт местоположение'!A13</f>
        <v xml:space="preserve">         (идентификатор инвестиционного проекта)</v>
      </c>
      <c r="B12" s="249"/>
      <c r="C12" s="249"/>
      <c r="D12" s="249"/>
      <c r="E12" s="249"/>
      <c r="F12" s="249"/>
      <c r="G12" s="249"/>
      <c r="H12" s="249"/>
      <c r="I12" s="249"/>
      <c r="J12" s="249"/>
      <c r="K12" s="249"/>
    </row>
    <row r="13" spans="1:11" s="78" customFormat="1" ht="15.75" customHeight="1" x14ac:dyDescent="0.2">
      <c r="A13" s="150"/>
      <c r="B13" s="150"/>
      <c r="C13" s="150"/>
      <c r="D13" s="150"/>
      <c r="E13" s="150"/>
      <c r="F13" s="150"/>
      <c r="G13" s="150"/>
      <c r="H13" s="150"/>
      <c r="I13" s="150"/>
      <c r="J13" s="150"/>
      <c r="K13" s="150"/>
    </row>
    <row r="14" spans="1:11" s="25" customFormat="1" x14ac:dyDescent="0.2">
      <c r="A14" s="244"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4" s="244"/>
      <c r="C14" s="244"/>
      <c r="D14" s="244"/>
      <c r="E14" s="244"/>
      <c r="F14" s="244"/>
      <c r="G14" s="244"/>
      <c r="H14" s="244"/>
      <c r="I14" s="244"/>
      <c r="J14" s="244"/>
      <c r="K14" s="244"/>
    </row>
    <row r="15" spans="1:11" s="25" customFormat="1" ht="15" customHeight="1" x14ac:dyDescent="0.2">
      <c r="A15" s="249" t="str">
        <f>'1. паспорт местоположение'!A16</f>
        <v xml:space="preserve">         (наименование инвестиционного проекта)</v>
      </c>
      <c r="B15" s="249"/>
      <c r="C15" s="249"/>
      <c r="D15" s="249"/>
      <c r="E15" s="249"/>
      <c r="F15" s="249"/>
      <c r="G15" s="249"/>
      <c r="H15" s="249"/>
      <c r="I15" s="249"/>
      <c r="J15" s="249"/>
      <c r="K15" s="249"/>
    </row>
    <row r="16" spans="1:11" s="25" customFormat="1" ht="15" customHeight="1" x14ac:dyDescent="0.2">
      <c r="A16" s="15"/>
      <c r="B16" s="15"/>
      <c r="C16" s="15"/>
      <c r="D16" s="15"/>
      <c r="E16" s="15"/>
      <c r="F16" s="15"/>
      <c r="G16" s="15"/>
      <c r="H16" s="15"/>
      <c r="I16" s="15"/>
      <c r="J16" s="15"/>
      <c r="K16" s="15"/>
    </row>
    <row r="17" spans="1:16" ht="18.75" customHeight="1" x14ac:dyDescent="0.25">
      <c r="A17" s="148"/>
      <c r="B17" s="148"/>
      <c r="C17" s="148"/>
      <c r="D17" s="148"/>
      <c r="E17" s="148"/>
      <c r="F17" s="148"/>
      <c r="G17" s="148"/>
      <c r="H17" s="148"/>
      <c r="I17" s="148"/>
      <c r="J17" s="148"/>
      <c r="K17" s="148"/>
    </row>
    <row r="19" spans="1:16" x14ac:dyDescent="0.25">
      <c r="A19" s="307" t="s">
        <v>246</v>
      </c>
      <c r="B19" s="307"/>
      <c r="C19" s="307"/>
      <c r="D19" s="307"/>
      <c r="E19" s="307"/>
      <c r="F19" s="307"/>
      <c r="G19" s="307"/>
      <c r="H19" s="307"/>
      <c r="I19" s="307"/>
      <c r="J19" s="307"/>
      <c r="K19" s="307"/>
    </row>
    <row r="20" spans="1:16" ht="15.75" customHeight="1" x14ac:dyDescent="0.25">
      <c r="A20" s="296" t="s">
        <v>101</v>
      </c>
      <c r="B20" s="296" t="s">
        <v>100</v>
      </c>
      <c r="C20" s="308" t="s">
        <v>99</v>
      </c>
      <c r="D20" s="309"/>
      <c r="E20" s="310" t="s">
        <v>98</v>
      </c>
      <c r="F20" s="311"/>
      <c r="G20" s="314" t="s">
        <v>653</v>
      </c>
      <c r="H20" s="316" t="s">
        <v>654</v>
      </c>
      <c r="I20" s="317"/>
      <c r="J20" s="317"/>
      <c r="K20" s="318"/>
    </row>
    <row r="21" spans="1:16" ht="33" customHeight="1" x14ac:dyDescent="0.25">
      <c r="A21" s="296"/>
      <c r="B21" s="296"/>
      <c r="C21" s="297"/>
      <c r="D21" s="298"/>
      <c r="E21" s="312"/>
      <c r="F21" s="313"/>
      <c r="G21" s="315"/>
      <c r="H21" s="319" t="s">
        <v>0</v>
      </c>
      <c r="I21" s="320"/>
      <c r="J21" s="319" t="s">
        <v>425</v>
      </c>
      <c r="K21" s="320"/>
      <c r="L21" s="46"/>
      <c r="M21" s="46"/>
      <c r="N21" s="46"/>
    </row>
    <row r="22" spans="1:16" ht="99.75" customHeight="1" x14ac:dyDescent="0.25">
      <c r="A22" s="296"/>
      <c r="B22" s="296"/>
      <c r="C22" s="216" t="s">
        <v>0</v>
      </c>
      <c r="D22" s="216" t="s">
        <v>425</v>
      </c>
      <c r="E22" s="64" t="s">
        <v>655</v>
      </c>
      <c r="F22" s="64" t="s">
        <v>656</v>
      </c>
      <c r="G22" s="303"/>
      <c r="H22" s="47" t="s">
        <v>643</v>
      </c>
      <c r="I22" s="47" t="s">
        <v>644</v>
      </c>
      <c r="J22" s="47" t="s">
        <v>643</v>
      </c>
      <c r="K22" s="47" t="s">
        <v>644</v>
      </c>
    </row>
    <row r="23" spans="1:16" x14ac:dyDescent="0.25">
      <c r="A23" s="205">
        <v>1</v>
      </c>
      <c r="B23" s="205">
        <v>2</v>
      </c>
      <c r="C23" s="205">
        <v>3</v>
      </c>
      <c r="D23" s="205">
        <v>4</v>
      </c>
      <c r="E23" s="205">
        <v>5</v>
      </c>
      <c r="F23" s="205">
        <v>6</v>
      </c>
      <c r="G23" s="205">
        <v>7</v>
      </c>
      <c r="H23" s="205">
        <v>8</v>
      </c>
      <c r="I23" s="205">
        <v>9</v>
      </c>
      <c r="J23" s="205">
        <v>10</v>
      </c>
      <c r="K23" s="205">
        <v>11</v>
      </c>
    </row>
    <row r="24" spans="1:16" ht="47.25" x14ac:dyDescent="0.25">
      <c r="A24" s="48">
        <v>1</v>
      </c>
      <c r="B24" s="49" t="s">
        <v>97</v>
      </c>
      <c r="C24" s="164">
        <f>VLOOKUP($A$11,'[1]6.2. отчет'!$D:$K,2,0)</f>
        <v>125.10096569299998</v>
      </c>
      <c r="D24" s="164">
        <f>VLOOKUP($A$11,'[1]6.2. отчет'!$D:$K,5,0)</f>
        <v>125.10096569299998</v>
      </c>
      <c r="E24" s="164">
        <f>VLOOKUP($A$11,'[1]6.2. отчет'!$D:$K,7,0)</f>
        <v>59.394362220999987</v>
      </c>
      <c r="F24" s="164">
        <f>VLOOKUP($A$11,'[1]6.2. отчет'!$D:$K,8,0)</f>
        <v>8.6026155899999992</v>
      </c>
      <c r="G24" s="164">
        <f>VLOOKUP($A$11,'[1]6.2. отчет'!$D:$BL,9,0)</f>
        <v>50.791746630999988</v>
      </c>
      <c r="H24" s="164">
        <f>VLOOKUP($A$11,'[1]6.2. отчет'!$D:$BL,15,0)</f>
        <v>8.6026155899999956</v>
      </c>
      <c r="I24" s="164">
        <f>VLOOKUP($A$11,'[1]6.2. отчет'!$D:$CU,45,0)</f>
        <v>5.4368818799999952</v>
      </c>
      <c r="J24" s="164">
        <f>VLOOKUP($A$11,'[1]6.2. отчет'!$D:$BL,56,0)</f>
        <v>8.6026155899999992</v>
      </c>
      <c r="K24" s="164">
        <f>VLOOKUP($A$11,'[1]6.2. отчет'!$D:$CU,86,0)</f>
        <v>5.4368818799999996</v>
      </c>
    </row>
    <row r="25" spans="1:16" s="50" customFormat="1" ht="47.25" customHeight="1" x14ac:dyDescent="0.25">
      <c r="A25" s="51" t="s">
        <v>96</v>
      </c>
      <c r="B25" s="52" t="s">
        <v>95</v>
      </c>
      <c r="C25" s="164">
        <f t="shared" ref="C25:C26" si="0">H25</f>
        <v>0</v>
      </c>
      <c r="D25" s="164">
        <f>G25+J25</f>
        <v>0</v>
      </c>
      <c r="E25" s="164">
        <f t="shared" ref="E25:E28" si="1">F25+G25</f>
        <v>0</v>
      </c>
      <c r="F25" s="164">
        <f t="shared" ref="F25:F26" si="2">J25</f>
        <v>0</v>
      </c>
      <c r="G25" s="164">
        <f>VLOOKUP($A$11,'[1]6.2. отчет'!$D:$BL,10,0)</f>
        <v>0</v>
      </c>
      <c r="H25" s="164">
        <f>VLOOKUP($A$11,'[1]6.2. отчет'!$D:$BL,16,0)</f>
        <v>0</v>
      </c>
      <c r="I25" s="164">
        <f>IF(H25=0,0,VLOOKUP($A$11,'[1]6.2. отчет'!$D:$CU,46,0))</f>
        <v>0</v>
      </c>
      <c r="J25" s="164">
        <f>VLOOKUP($A$11,'[1]6.2. отчет'!$D:$BL,57,0)</f>
        <v>0</v>
      </c>
      <c r="K25" s="164">
        <f>IF(J25=0,0,VLOOKUP($A$11,'[1]6.2. отчет'!$D:$CU,87,0))</f>
        <v>0</v>
      </c>
    </row>
    <row r="26" spans="1:16" ht="24" customHeight="1" x14ac:dyDescent="0.25">
      <c r="A26" s="51" t="s">
        <v>94</v>
      </c>
      <c r="B26" s="52" t="s">
        <v>93</v>
      </c>
      <c r="C26" s="164">
        <f t="shared" si="0"/>
        <v>0</v>
      </c>
      <c r="D26" s="164">
        <f>G26+J26</f>
        <v>0</v>
      </c>
      <c r="E26" s="164">
        <f t="shared" si="1"/>
        <v>0</v>
      </c>
      <c r="F26" s="164">
        <f t="shared" si="2"/>
        <v>0</v>
      </c>
      <c r="G26" s="164">
        <f>VLOOKUP($A$11,'[1]6.2. отчет'!$D:$BL,11,0)</f>
        <v>0</v>
      </c>
      <c r="H26" s="164">
        <f>VLOOKUP($A$11,'[1]6.2. отчет'!$D:$BL,17,0)</f>
        <v>0</v>
      </c>
      <c r="I26" s="164">
        <f>IF(H26=0,0,VLOOKUP($A$11,'[1]6.2. отчет'!$D:$CU,47,0))</f>
        <v>0</v>
      </c>
      <c r="J26" s="164">
        <f>VLOOKUP($A$11,'[1]6.2. отчет'!$D:$BL,58,0)</f>
        <v>0</v>
      </c>
      <c r="K26" s="164">
        <f>IF(J26=0,0,VLOOKUP($A$11,'[1]6.2. отчет'!$D:$CU,88,0))</f>
        <v>0</v>
      </c>
    </row>
    <row r="27" spans="1:16" ht="31.5" x14ac:dyDescent="0.25">
      <c r="A27" s="51" t="s">
        <v>92</v>
      </c>
      <c r="B27" s="52" t="s">
        <v>197</v>
      </c>
      <c r="C27" s="164">
        <f>IF(C24="нд","нд",C24-(C29+C28+C26+C25))</f>
        <v>116.49835010299998</v>
      </c>
      <c r="D27" s="164">
        <f>G27+J27+D24-(G24+J24)</f>
        <v>66.859159022</v>
      </c>
      <c r="E27" s="164">
        <f>F27+G27</f>
        <v>9.7551711399999999</v>
      </c>
      <c r="F27" s="164">
        <f>F24-(F25+F26+F28+F29)</f>
        <v>8.6026155899999992</v>
      </c>
      <c r="G27" s="164">
        <f>VLOOKUP($A$11,'[1]6.2. отчет'!$D:$BL,12,0)</f>
        <v>1.15255555</v>
      </c>
      <c r="H27" s="164">
        <f>VLOOKUP($A$11,'[1]6.2. отчет'!$D:$BL,18,0)</f>
        <v>0</v>
      </c>
      <c r="I27" s="164">
        <f>IF(H27=0,0,VLOOKUP($A$11,'[1]6.2. отчет'!$D:$CU,48,0))</f>
        <v>0</v>
      </c>
      <c r="J27" s="164">
        <f>VLOOKUP($A$11,'[1]6.2. отчет'!$D:$BL,59,0)</f>
        <v>-3.1086244689504383E-15</v>
      </c>
      <c r="K27" s="226">
        <f>IF(J27=0,0,VLOOKUP($A$11,'[1]6.2. отчет'!$D:$CU,89,0))</f>
        <v>0</v>
      </c>
    </row>
    <row r="28" spans="1:16" x14ac:dyDescent="0.25">
      <c r="A28" s="51" t="s">
        <v>91</v>
      </c>
      <c r="B28" s="52" t="s">
        <v>90</v>
      </c>
      <c r="C28" s="164">
        <f>H28</f>
        <v>0</v>
      </c>
      <c r="D28" s="164">
        <f t="shared" ref="D28:D29" si="3">G28+J28</f>
        <v>0</v>
      </c>
      <c r="E28" s="164">
        <f t="shared" si="1"/>
        <v>0</v>
      </c>
      <c r="F28" s="164">
        <v>0</v>
      </c>
      <c r="G28" s="164">
        <f>VLOOKUP($A$11,'[1]6.2. отчет'!$D:$BL,13,0)</f>
        <v>0</v>
      </c>
      <c r="H28" s="164">
        <f>VLOOKUP($A$11,'[1]6.2. отчет'!$D:$BL,19,0)</f>
        <v>0</v>
      </c>
      <c r="I28" s="164">
        <f>IF(H28=0,0,VLOOKUP($A$11,'[1]6.2. отчет'!$D:$CU,49,0))</f>
        <v>0</v>
      </c>
      <c r="J28" s="164">
        <f>VLOOKUP($A$11,'[1]6.2. отчет'!$D:$BL,60,0)</f>
        <v>0</v>
      </c>
      <c r="K28" s="164">
        <f>IF(J28=0,0,VLOOKUP($A$11,'[1]6.2. отчет'!$D:$CU,90,0))</f>
        <v>0</v>
      </c>
    </row>
    <row r="29" spans="1:16" x14ac:dyDescent="0.25">
      <c r="A29" s="51" t="s">
        <v>89</v>
      </c>
      <c r="B29" s="54" t="s">
        <v>88</v>
      </c>
      <c r="C29" s="164">
        <f>H29</f>
        <v>8.6026155899999956</v>
      </c>
      <c r="D29" s="164">
        <f t="shared" si="3"/>
        <v>58.241806670999992</v>
      </c>
      <c r="E29" s="164">
        <f>F29+G29</f>
        <v>49.639191080999993</v>
      </c>
      <c r="F29" s="164">
        <v>0</v>
      </c>
      <c r="G29" s="164">
        <f>VLOOKUP($A$11,'[1]6.2. отчет'!$D:$BL,14,0)</f>
        <v>49.639191080999993</v>
      </c>
      <c r="H29" s="164">
        <f>VLOOKUP($A$11,'[1]6.2. отчет'!$D:$BL,20,0)</f>
        <v>8.6026155899999956</v>
      </c>
      <c r="I29" s="164">
        <f>IF(H29=0,0,VLOOKUP($A$11,'[1]6.2. отчет'!$D:$CU,50,0))</f>
        <v>5.4368818799999952</v>
      </c>
      <c r="J29" s="164">
        <f>VLOOKUP($A$11,'[1]6.2. отчет'!$D:$BL,61,0)</f>
        <v>8.6026155900000028</v>
      </c>
      <c r="K29" s="164">
        <f>IF(J29=0,0,VLOOKUP($A$11,'[1]6.2. отчет'!$D:$CU,91,0))</f>
        <v>5.4368818799999996</v>
      </c>
    </row>
    <row r="30" spans="1:16" ht="47.25" x14ac:dyDescent="0.25">
      <c r="A30" s="48" t="s">
        <v>17</v>
      </c>
      <c r="B30" s="49" t="s">
        <v>87</v>
      </c>
      <c r="C30" s="164">
        <f>VLOOKUP($A$11,'[1]6.2. отчет'!$D:$DB,99,0)</f>
        <v>104.91409443999999</v>
      </c>
      <c r="D30" s="164">
        <f>VLOOKUP($A$11,'[1]6.2. отчет'!$D:$FK,106,0)</f>
        <v>104.91409444</v>
      </c>
      <c r="E30" s="164">
        <f>VLOOKUP($A$11,'[1]6.2. отчет'!$D:$FK,108,0)</f>
        <v>47.661264169999988</v>
      </c>
      <c r="F30" s="164">
        <f>VLOOKUP($A$11,'[1]6.2. отчет'!$D:$FK,109,0)</f>
        <v>2.0039895199999904</v>
      </c>
      <c r="G30" s="164">
        <f>VLOOKUP($A$11,'[1]6.2. отчет'!$D:$FK,110,0)</f>
        <v>45.657274649999998</v>
      </c>
      <c r="H30" s="164">
        <f>VLOOKUP($A$11,'[1]6.2. отчет'!$D:$FK,115,0)</f>
        <v>2.0039895200000002</v>
      </c>
      <c r="I30" s="164">
        <f>VLOOKUP($A$11,'[1]6.2. отчет'!$D:$AGP,124,0)</f>
        <v>0</v>
      </c>
      <c r="J30" s="164">
        <f>VLOOKUP($A$11,'[1]6.2. отчет'!$D:$FK,130,0)</f>
        <v>2.0039895200000002</v>
      </c>
      <c r="K30" s="164">
        <f>VLOOKUP($A$11,'[1]6.2. отчет'!$D:$FK,155,0)</f>
        <v>0</v>
      </c>
      <c r="M30" s="62"/>
      <c r="N30" s="62"/>
    </row>
    <row r="31" spans="1:16" s="50" customFormat="1" x14ac:dyDescent="0.25">
      <c r="A31" s="48" t="s">
        <v>86</v>
      </c>
      <c r="B31" s="52" t="s">
        <v>85</v>
      </c>
      <c r="C31" s="164">
        <f>VLOOKUP($A$11,'[1]6.2. отчет'!$D:$DB,100,0)</f>
        <v>8.0798650599999995</v>
      </c>
      <c r="D31" s="164">
        <v>8.0798650599999977</v>
      </c>
      <c r="E31" s="164">
        <f>F31+G31</f>
        <v>0</v>
      </c>
      <c r="F31" s="164">
        <v>0</v>
      </c>
      <c r="G31" s="164">
        <f>VLOOKUP($A$11,'[1]6.2. отчет'!$D:$FK,111,0)</f>
        <v>0</v>
      </c>
      <c r="H31" s="164">
        <v>0</v>
      </c>
      <c r="I31" s="164">
        <v>0</v>
      </c>
      <c r="J31" s="164">
        <f>VLOOKUP($A$11,'[1]6.2. отчет'!$D:$FK,131,0)</f>
        <v>0</v>
      </c>
      <c r="K31" s="164">
        <f>IF(J31=0,0,VLOOKUP($A$11,'[1]6.2. отчет'!$D:$FK,156,0))</f>
        <v>0</v>
      </c>
      <c r="M31" s="62"/>
      <c r="N31" s="62"/>
      <c r="P31" s="217"/>
    </row>
    <row r="32" spans="1:16" ht="31.5" x14ac:dyDescent="0.25">
      <c r="A32" s="48" t="s">
        <v>84</v>
      </c>
      <c r="B32" s="52" t="s">
        <v>83</v>
      </c>
      <c r="C32" s="164">
        <f>VLOOKUP($A$11,'[1]6.2. отчет'!$D:$DB,101,0)</f>
        <v>63.808043900000001</v>
      </c>
      <c r="D32" s="164">
        <v>63.808044390000006</v>
      </c>
      <c r="E32" s="164">
        <f t="shared" ref="E32:E34" si="4">F32+G32</f>
        <v>30.73554966</v>
      </c>
      <c r="F32" s="164">
        <v>0</v>
      </c>
      <c r="G32" s="164">
        <f>VLOOKUP($A$11,'[1]6.2. отчет'!$D:$FK,112,0)</f>
        <v>30.73554966</v>
      </c>
      <c r="H32" s="164">
        <v>0</v>
      </c>
      <c r="I32" s="164">
        <v>0</v>
      </c>
      <c r="J32" s="164">
        <f>VLOOKUP($A$11,'[1]6.2. отчет'!$D:$FK,132,0)</f>
        <v>0</v>
      </c>
      <c r="K32" s="164">
        <f>IF(J32=0,0,VLOOKUP($A$11,'[1]6.2. отчет'!$D:$FK,157,0))</f>
        <v>0</v>
      </c>
      <c r="L32" s="62"/>
      <c r="M32" s="62"/>
      <c r="N32" s="62"/>
      <c r="P32" s="62"/>
    </row>
    <row r="33" spans="1:16" x14ac:dyDescent="0.25">
      <c r="A33" s="48" t="s">
        <v>82</v>
      </c>
      <c r="B33" s="52" t="s">
        <v>81</v>
      </c>
      <c r="C33" s="164">
        <f>VLOOKUP($A$11,'[1]6.2. отчет'!$D:$DB,102,0)</f>
        <v>23.855223460000001</v>
      </c>
      <c r="D33" s="164">
        <v>22.899545470000003</v>
      </c>
      <c r="E33" s="164">
        <f t="shared" si="4"/>
        <v>9.5326688700000002</v>
      </c>
      <c r="F33" s="164">
        <v>0</v>
      </c>
      <c r="G33" s="164">
        <f>VLOOKUP($A$11,'[1]6.2. отчет'!$D:$FK,113,0)</f>
        <v>9.5326688700000002</v>
      </c>
      <c r="H33" s="164">
        <v>0</v>
      </c>
      <c r="I33" s="164">
        <v>0</v>
      </c>
      <c r="J33" s="164">
        <f>VLOOKUP($A$11,'[1]6.2. отчет'!$D:$FK,133,0)</f>
        <v>0</v>
      </c>
      <c r="K33" s="164">
        <f>IF(J33=0,0,VLOOKUP($A$11,'[1]6.2. отчет'!$D:$FK,158,0))</f>
        <v>0</v>
      </c>
      <c r="L33" s="62"/>
      <c r="M33" s="62"/>
      <c r="N33" s="62"/>
      <c r="O33" s="62"/>
      <c r="P33" s="62"/>
    </row>
    <row r="34" spans="1:16" x14ac:dyDescent="0.25">
      <c r="A34" s="48" t="s">
        <v>80</v>
      </c>
      <c r="B34" s="52" t="s">
        <v>79</v>
      </c>
      <c r="C34" s="164">
        <f>VLOOKUP($A$11,'[1]6.2. отчет'!$D:$DB,103,0)</f>
        <v>9.1709620199999797</v>
      </c>
      <c r="D34" s="164">
        <v>10.126639519999998</v>
      </c>
      <c r="E34" s="164">
        <f t="shared" si="4"/>
        <v>7.3930456399999906</v>
      </c>
      <c r="F34" s="164">
        <f>F30</f>
        <v>2.0039895199999904</v>
      </c>
      <c r="G34" s="164">
        <f>VLOOKUP($A$11,'[1]6.2. отчет'!$D:$FK,114,0)</f>
        <v>5.3890561200000002</v>
      </c>
      <c r="H34" s="164">
        <f>H30</f>
        <v>2.0039895200000002</v>
      </c>
      <c r="I34" s="164">
        <v>0</v>
      </c>
      <c r="J34" s="164">
        <f>VLOOKUP($A$11,'[1]6.2. отчет'!$D:$FK,134,0)</f>
        <v>2.0039895200000002</v>
      </c>
      <c r="K34" s="164">
        <f>IF(J34=0,0,VLOOKUP($A$11,'[1]6.2. отчет'!$D:$FK,159,0))</f>
        <v>0</v>
      </c>
      <c r="L34" s="62"/>
      <c r="M34" s="62"/>
      <c r="N34" s="62"/>
      <c r="P34" s="62"/>
    </row>
    <row r="35" spans="1:16" ht="31.5" x14ac:dyDescent="0.25">
      <c r="A35" s="48" t="s">
        <v>16</v>
      </c>
      <c r="B35" s="49" t="s">
        <v>78</v>
      </c>
      <c r="C35" s="164"/>
      <c r="D35" s="164"/>
      <c r="E35" s="164"/>
      <c r="F35" s="164"/>
      <c r="G35" s="164"/>
      <c r="H35" s="164"/>
      <c r="I35" s="53"/>
      <c r="J35" s="164"/>
      <c r="K35" s="53"/>
      <c r="M35" s="50"/>
    </row>
    <row r="36" spans="1:16" s="50" customFormat="1" ht="31.5" x14ac:dyDescent="0.25">
      <c r="A36" s="51" t="s">
        <v>77</v>
      </c>
      <c r="B36" s="65" t="s">
        <v>76</v>
      </c>
      <c r="C36" s="164">
        <f>IF('1. паспорт местоположение'!$C$22="Прочие инвестиционные проекты",0,VLOOKUP($A$11,'[1]6.2. отчет'!$D:$FX,168,0))</f>
        <v>0</v>
      </c>
      <c r="D36" s="224">
        <v>0</v>
      </c>
      <c r="E36" s="164">
        <f>F36+G36</f>
        <v>0</v>
      </c>
      <c r="F36" s="164">
        <f>C36-G36</f>
        <v>0</v>
      </c>
      <c r="G36" s="164">
        <f>IF('1. паспорт местоположение'!$C$22="Прочие инвестиционные проекты",0,VLOOKUP($A$11,'[1]6.2. отчет'!$D:$GJ,180,0))</f>
        <v>0</v>
      </c>
      <c r="H36" s="164">
        <f>IF('1. паспорт местоположение'!$C$22="Прочие инвестиционные проекты",0,VLOOKUP($A$11,'[1]6.2. отчет'!$D:$AGO,191,0))</f>
        <v>0</v>
      </c>
      <c r="I36" s="164">
        <f>IF('1. паспорт местоположение'!$C$22="Прочие инвестиционные проекты",0,VLOOKUP($A$11,'[1]6.2. отчет'!$D:$AGO,246,0))</f>
        <v>0</v>
      </c>
      <c r="J36" s="164">
        <f>IF('1. паспорт местоположение'!$C$22="Прочие инвестиционные проекты",0,VLOOKUP($A$11,'[1]6.2. отчет'!$D:$AGO,257,0))</f>
        <v>0</v>
      </c>
      <c r="K36" s="164">
        <f>IF('1. паспорт местоположение'!$C$22="Прочие инвестиционные проекты",0,VLOOKUP($A$11,'[1]6.2. отчет'!$D:$AGO,312,0))</f>
        <v>0</v>
      </c>
    </row>
    <row r="37" spans="1:16" x14ac:dyDescent="0.25">
      <c r="A37" s="51" t="s">
        <v>75</v>
      </c>
      <c r="B37" s="65" t="s">
        <v>65</v>
      </c>
      <c r="C37" s="164">
        <f>IF('1. паспорт местоположение'!$C$22="Прочие инвестиционные проекты",0,VLOOKUP($A$11,'[1]6.2. отчет'!$D:$FX,169,0))</f>
        <v>6.75</v>
      </c>
      <c r="D37" s="224">
        <f>VLOOKUP($A$11,'[1]6.2. отчет'!$D:$OZ,410,0)</f>
        <v>6.75</v>
      </c>
      <c r="E37" s="164">
        <f t="shared" ref="E37:E42" si="5">F37+G37</f>
        <v>6.75</v>
      </c>
      <c r="F37" s="164">
        <f t="shared" ref="F37:F42" si="6">C37-G37</f>
        <v>6.75</v>
      </c>
      <c r="G37" s="164">
        <f>IF('1. паспорт местоположение'!$C$22="Прочие инвестиционные проекты",0,VLOOKUP($A$11,'[1]6.2. отчет'!$D:$GJ,181,0))</f>
        <v>0</v>
      </c>
      <c r="H37" s="164">
        <f>IF('1. паспорт местоположение'!$C$22="Прочие инвестиционные проекты",0,VLOOKUP($A$11,'[1]6.2. отчет'!$D:$AGO,192,0))</f>
        <v>6.75</v>
      </c>
      <c r="I37" s="164">
        <f>IF('1. паспорт местоположение'!$C$22="Прочие инвестиционные проекты",0,VLOOKUP($A$11,'[1]6.2. отчет'!$D:$AGO,247,0))</f>
        <v>6.75</v>
      </c>
      <c r="J37" s="164">
        <f>IF('1. паспорт местоположение'!$C$22="Прочие инвестиционные проекты",0,VLOOKUP($A$11,'[1]6.2. отчет'!$D:$AGO,258,0))</f>
        <v>6.75</v>
      </c>
      <c r="K37" s="164">
        <f>IF('1. паспорт местоположение'!$C$22="Прочие инвестиционные проекты",0,VLOOKUP($A$11,'[1]6.2. отчет'!$D:$AGO,313,0))</f>
        <v>0</v>
      </c>
    </row>
    <row r="38" spans="1:16" x14ac:dyDescent="0.25">
      <c r="A38" s="51" t="s">
        <v>74</v>
      </c>
      <c r="B38" s="65" t="s">
        <v>63</v>
      </c>
      <c r="C38" s="164">
        <f>IF('1. паспорт местоположение'!$C$22="Прочие инвестиционные проекты",0,VLOOKUP($A$11,'[1]6.2. отчет'!$D:$FX,170,0))</f>
        <v>0</v>
      </c>
      <c r="D38" s="224">
        <f>VLOOKUP($A$11,'[1]6.2. отчет'!$D:$OZ,411,0)</f>
        <v>0</v>
      </c>
      <c r="E38" s="164">
        <f t="shared" si="5"/>
        <v>0</v>
      </c>
      <c r="F38" s="164">
        <f t="shared" si="6"/>
        <v>0</v>
      </c>
      <c r="G38" s="164">
        <f>IF('1. паспорт местоположение'!$C$22="Прочие инвестиционные проекты",0,VLOOKUP($A$11,'[1]6.2. отчет'!$D:$GJ,182,0))</f>
        <v>0</v>
      </c>
      <c r="H38" s="164">
        <f>IF('1. паспорт местоположение'!$C$22="Прочие инвестиционные проекты",0,VLOOKUP($A$11,'[1]6.2. отчет'!$D:$AGO,193,0))</f>
        <v>0</v>
      </c>
      <c r="I38" s="164">
        <f>IF('1. паспорт местоположение'!$C$22="Прочие инвестиционные проекты",0,VLOOKUP($A$11,'[1]6.2. отчет'!$D:$AGO,248,0))</f>
        <v>0</v>
      </c>
      <c r="J38" s="164">
        <f>IF('1. паспорт местоположение'!$C$22="Прочие инвестиционные проекты",0,VLOOKUP($A$11,'[1]6.2. отчет'!$D:$AGO,259,0))</f>
        <v>0</v>
      </c>
      <c r="K38" s="164">
        <f>IF('1. паспорт местоположение'!$C$22="Прочие инвестиционные проекты",0,VLOOKUP($A$11,'[1]6.2. отчет'!$D:$AGO,314,0))</f>
        <v>0</v>
      </c>
    </row>
    <row r="39" spans="1:16" ht="31.5" x14ac:dyDescent="0.25">
      <c r="A39" s="51" t="s">
        <v>73</v>
      </c>
      <c r="B39" s="52" t="s">
        <v>61</v>
      </c>
      <c r="C39" s="164">
        <f>IF('1. паспорт местоположение'!$C$22="Прочие инвестиционные проекты",0,VLOOKUP($A$11,'[1]6.2. отчет'!$D:$FX,172,0))</f>
        <v>62.09</v>
      </c>
      <c r="D39" s="224">
        <f>VLOOKUP($A$11,'[1]6.2. отчет'!$D:$OZ,409,0)</f>
        <v>62.09</v>
      </c>
      <c r="E39" s="164">
        <f t="shared" si="5"/>
        <v>62.09</v>
      </c>
      <c r="F39" s="164">
        <f t="shared" si="6"/>
        <v>62.09</v>
      </c>
      <c r="G39" s="164">
        <f>IF('1. паспорт местоположение'!$C$22="Прочие инвестиционные проекты",0,VLOOKUP($A$11,'[1]6.2. отчет'!$D:$GJ,184,0))</f>
        <v>0</v>
      </c>
      <c r="H39" s="164">
        <f>IF('1. паспорт местоположение'!$C$22="Прочие инвестиционные проекты",0,VLOOKUP($A$11,'[1]6.2. отчет'!$D:$AGO,195,0))</f>
        <v>62.09</v>
      </c>
      <c r="I39" s="164">
        <f>IF('1. паспорт местоположение'!$C$22="Прочие инвестиционные проекты",0,VLOOKUP($A$11,'[1]6.2. отчет'!$D:$AGO,250,0))</f>
        <v>62.09</v>
      </c>
      <c r="J39" s="164">
        <f>IF('1. паспорт местоположение'!$C$22="Прочие инвестиционные проекты",0,VLOOKUP($A$11,'[1]6.2. отчет'!$D:$AGO,261,0))</f>
        <v>62.09</v>
      </c>
      <c r="K39" s="164">
        <f>IF('1. паспорт местоположение'!$C$22="Прочие инвестиционные проекты",0,VLOOKUP($A$11,'[1]6.2. отчет'!$D:$AGO,316,0))</f>
        <v>0</v>
      </c>
    </row>
    <row r="40" spans="1:16" ht="31.5" x14ac:dyDescent="0.25">
      <c r="A40" s="51" t="s">
        <v>72</v>
      </c>
      <c r="B40" s="52" t="s">
        <v>59</v>
      </c>
      <c r="C40" s="164">
        <f>IF('1. паспорт местоположение'!$C$22="Прочие инвестиционные проекты",0,VLOOKUP($A$11,'[1]6.2. отчет'!$D:$FX,173,0))</f>
        <v>0</v>
      </c>
      <c r="D40" s="224">
        <v>0</v>
      </c>
      <c r="E40" s="164">
        <f t="shared" si="5"/>
        <v>0</v>
      </c>
      <c r="F40" s="164">
        <f t="shared" si="6"/>
        <v>0</v>
      </c>
      <c r="G40" s="164">
        <f>IF('1. паспорт местоположение'!$C$22="Прочие инвестиционные проекты",0,VLOOKUP($A$11,'[1]6.2. отчет'!$D:$GJ,185,0))</f>
        <v>0</v>
      </c>
      <c r="H40" s="164">
        <f>IF('1. паспорт местоположение'!$C$22="Прочие инвестиционные проекты",0,VLOOKUP($A$11,'[1]6.2. отчет'!$D:$AGO,196,0))</f>
        <v>0</v>
      </c>
      <c r="I40" s="164">
        <f>IF('1. паспорт местоположение'!$C$22="Прочие инвестиционные проекты",0,VLOOKUP($A$11,'[1]6.2. отчет'!$D:$AGO,251,0))</f>
        <v>0</v>
      </c>
      <c r="J40" s="164">
        <f>IF('1. паспорт местоположение'!$C$22="Прочие инвестиционные проекты",0,VLOOKUP($A$11,'[1]6.2. отчет'!$D:$AGO,262,0))</f>
        <v>0</v>
      </c>
      <c r="K40" s="164">
        <f>IF('1. паспорт местоположение'!$C$22="Прочие инвестиционные проекты",0,VLOOKUP($A$11,'[1]6.2. отчет'!$D:$AGO,317,0))</f>
        <v>0</v>
      </c>
    </row>
    <row r="41" spans="1:16" x14ac:dyDescent="0.25">
      <c r="A41" s="51" t="s">
        <v>71</v>
      </c>
      <c r="B41" s="52" t="s">
        <v>57</v>
      </c>
      <c r="C41" s="164">
        <f>IF('1. паспорт местоположение'!$C$22="Прочие инвестиционные проекты",0,VLOOKUP($A$11,'[1]6.2. отчет'!$D:$FX,174,0))</f>
        <v>0</v>
      </c>
      <c r="D41" s="224">
        <v>0</v>
      </c>
      <c r="E41" s="164">
        <f t="shared" si="5"/>
        <v>0</v>
      </c>
      <c r="F41" s="164">
        <f t="shared" si="6"/>
        <v>0</v>
      </c>
      <c r="G41" s="164">
        <f>IF('1. паспорт местоположение'!$C$22="Прочие инвестиционные проекты",0,VLOOKUP($A$11,'[1]6.2. отчет'!$D:$GJ,186,0))</f>
        <v>0</v>
      </c>
      <c r="H41" s="164">
        <f>IF('1. паспорт местоположение'!$C$22="Прочие инвестиционные проекты",0,VLOOKUP($A$11,'[1]6.2. отчет'!$D:$AGO,197,0))</f>
        <v>0</v>
      </c>
      <c r="I41" s="164">
        <f>IF('1. паспорт местоположение'!$C$22="Прочие инвестиционные проекты",0,VLOOKUP($A$11,'[1]6.2. отчет'!$D:$AGO,252,0))</f>
        <v>0</v>
      </c>
      <c r="J41" s="164">
        <f>IF('1. паспорт местоположение'!$C$22="Прочие инвестиционные проекты",0,VLOOKUP($A$11,'[1]6.2. отчет'!$D:$AGO,263,0))</f>
        <v>0</v>
      </c>
      <c r="K41" s="164">
        <f>IF('1. паспорт местоположение'!$C$22="Прочие инвестиционные проекты",0,VLOOKUP($A$11,'[1]6.2. отчет'!$D:$AGO,318,0))</f>
        <v>0</v>
      </c>
    </row>
    <row r="42" spans="1:16" x14ac:dyDescent="0.25">
      <c r="A42" s="51" t="s">
        <v>70</v>
      </c>
      <c r="B42" s="65" t="s">
        <v>450</v>
      </c>
      <c r="C42" s="164">
        <f>IF('1. паспорт местоположение'!$C$22="Прочие инвестиционные проекты",0,VLOOKUP($A$11,'[1]6.2. отчет'!$D:$FX,177,0))</f>
        <v>0</v>
      </c>
      <c r="D42" s="224">
        <f>VLOOKUP($A$11,'[1]6.2. отчет'!$D:$OZ,412,0)</f>
        <v>0</v>
      </c>
      <c r="E42" s="164">
        <f t="shared" si="5"/>
        <v>0</v>
      </c>
      <c r="F42" s="164">
        <f t="shared" si="6"/>
        <v>0</v>
      </c>
      <c r="G42" s="164">
        <f>IF('1. паспорт местоположение'!$C$22="Прочие инвестиционные проекты",0,VLOOKUP($A$11,'[1]6.2. отчет'!$D:$GJ,189,0))</f>
        <v>0</v>
      </c>
      <c r="H42" s="164">
        <f>IF('1. паспорт местоположение'!$C$22="Прочие инвестиционные проекты",0,VLOOKUP($A$11,'[1]6.2. отчет'!$D:$AGO,200,0))</f>
        <v>0</v>
      </c>
      <c r="I42" s="164">
        <f>IF('1. паспорт местоположение'!$C$22="Прочие инвестиционные проекты",0,VLOOKUP($A$11,'[1]6.2. отчет'!$D:$AGO,255,0))</f>
        <v>0</v>
      </c>
      <c r="J42" s="164">
        <f>IF('1. паспорт местоположение'!$C$22="Прочие инвестиционные проекты",0,VLOOKUP($A$11,'[1]6.2. отчет'!$D:$AGO,266,0))</f>
        <v>0</v>
      </c>
      <c r="K42" s="164">
        <f>IF('1. паспорт местоположение'!$C$22="Прочие инвестиционные проекты",0,VLOOKUP($A$11,'[1]6.2. отчет'!$D:$AGO,321,0))</f>
        <v>0</v>
      </c>
    </row>
    <row r="43" spans="1:16" x14ac:dyDescent="0.25">
      <c r="A43" s="48" t="s">
        <v>15</v>
      </c>
      <c r="B43" s="49" t="s">
        <v>69</v>
      </c>
      <c r="C43" s="164"/>
      <c r="D43" s="224"/>
      <c r="E43" s="164"/>
      <c r="F43" s="164"/>
      <c r="G43" s="164"/>
      <c r="H43" s="164"/>
      <c r="I43" s="53"/>
      <c r="J43" s="164"/>
      <c r="K43" s="53"/>
    </row>
    <row r="44" spans="1:16" s="50" customFormat="1" x14ac:dyDescent="0.25">
      <c r="A44" s="51" t="s">
        <v>68</v>
      </c>
      <c r="B44" s="52" t="s">
        <v>67</v>
      </c>
      <c r="C44" s="164">
        <f>VLOOKUP($A$11,'[1]6.2. отчет'!$D:$FX,168,0)</f>
        <v>0</v>
      </c>
      <c r="D44" s="224">
        <v>0</v>
      </c>
      <c r="E44" s="164">
        <f t="shared" ref="E44:E50" si="7">F44+G44</f>
        <v>0</v>
      </c>
      <c r="F44" s="164">
        <f t="shared" ref="F44:F50" si="8">C44-G44</f>
        <v>0</v>
      </c>
      <c r="G44" s="164">
        <f>VLOOKUP($A$11,'[1]6.2. отчет'!$D:$GJ,180,0)</f>
        <v>0</v>
      </c>
      <c r="H44" s="164">
        <f>VLOOKUP($A$11,'[1]6.2. отчет'!$D:$AGO,191,0)</f>
        <v>0</v>
      </c>
      <c r="I44" s="164">
        <f>VLOOKUP($A$11,'[1]6.2. отчет'!$D:$AGO,246,0)</f>
        <v>0</v>
      </c>
      <c r="J44" s="164">
        <f>VLOOKUP($A$11,'[1]6.2. отчет'!$D:$AGO,257,0)</f>
        <v>0</v>
      </c>
      <c r="K44" s="164">
        <f>VLOOKUP($A$11,'[1]6.2. отчет'!$D:$AGO,312,0)</f>
        <v>0</v>
      </c>
    </row>
    <row r="45" spans="1:16" x14ac:dyDescent="0.25">
      <c r="A45" s="51" t="s">
        <v>66</v>
      </c>
      <c r="B45" s="52" t="s">
        <v>65</v>
      </c>
      <c r="C45" s="164">
        <f>VLOOKUP($A$11,'[1]6.2. отчет'!$D:$FX,169,0)</f>
        <v>6.75</v>
      </c>
      <c r="D45" s="224">
        <f>VLOOKUP($A$11,'[1]6.2. отчет'!$D:$OZ,410,0)</f>
        <v>6.75</v>
      </c>
      <c r="E45" s="164">
        <f t="shared" si="7"/>
        <v>6.75</v>
      </c>
      <c r="F45" s="164">
        <f t="shared" si="8"/>
        <v>6.75</v>
      </c>
      <c r="G45" s="164">
        <f>VLOOKUP($A$11,'[1]6.2. отчет'!$D:$GJ,181,0)</f>
        <v>0</v>
      </c>
      <c r="H45" s="164">
        <f>VLOOKUP($A$11,'[1]6.2. отчет'!$D:$AGO,192,0)</f>
        <v>6.75</v>
      </c>
      <c r="I45" s="164">
        <f>VLOOKUP($A$11,'[1]6.2. отчет'!$D:$AGO,247,0)</f>
        <v>6.75</v>
      </c>
      <c r="J45" s="164">
        <f>VLOOKUP($A$11,'[1]6.2. отчет'!$D:$AGO,258,0)</f>
        <v>6.75</v>
      </c>
      <c r="K45" s="164">
        <f>VLOOKUP($A$11,'[1]6.2. отчет'!$D:$AGO,313,0)</f>
        <v>0</v>
      </c>
    </row>
    <row r="46" spans="1:16" x14ac:dyDescent="0.25">
      <c r="A46" s="51" t="s">
        <v>64</v>
      </c>
      <c r="B46" s="52" t="s">
        <v>63</v>
      </c>
      <c r="C46" s="164">
        <f>VLOOKUP($A$11,'[1]6.2. отчет'!$D:$FX,170,0)</f>
        <v>0</v>
      </c>
      <c r="D46" s="224">
        <f>VLOOKUP($A$11,'[1]6.2. отчет'!$D:$OZ,411,0)</f>
        <v>0</v>
      </c>
      <c r="E46" s="164">
        <f t="shared" si="7"/>
        <v>0</v>
      </c>
      <c r="F46" s="164">
        <f t="shared" si="8"/>
        <v>0</v>
      </c>
      <c r="G46" s="164">
        <f>VLOOKUP($A$11,'[1]6.2. отчет'!$D:$GJ,182,0)</f>
        <v>0</v>
      </c>
      <c r="H46" s="164">
        <f>VLOOKUP($A$11,'[1]6.2. отчет'!$D:$AGO,193,0)</f>
        <v>0</v>
      </c>
      <c r="I46" s="164">
        <f>VLOOKUP($A$11,'[1]6.2. отчет'!$D:$AGO,248,0)</f>
        <v>0</v>
      </c>
      <c r="J46" s="164">
        <f>VLOOKUP($A$11,'[1]6.2. отчет'!$D:$AGO,259,0)</f>
        <v>0</v>
      </c>
      <c r="K46" s="164">
        <f>VLOOKUP($A$11,'[1]6.2. отчет'!$D:$AGO,314,0)</f>
        <v>0</v>
      </c>
    </row>
    <row r="47" spans="1:16" ht="31.5" x14ac:dyDescent="0.25">
      <c r="A47" s="51" t="s">
        <v>62</v>
      </c>
      <c r="B47" s="52" t="s">
        <v>61</v>
      </c>
      <c r="C47" s="164">
        <f>VLOOKUP($A$11,'[1]6.2. отчет'!$D:$FX,172,0)</f>
        <v>62.09</v>
      </c>
      <c r="D47" s="224">
        <f>VLOOKUP($A$11,'[1]6.2. отчет'!$D:$OZ,409,0)</f>
        <v>62.09</v>
      </c>
      <c r="E47" s="164">
        <f t="shared" si="7"/>
        <v>62.09</v>
      </c>
      <c r="F47" s="164">
        <f t="shared" si="8"/>
        <v>62.09</v>
      </c>
      <c r="G47" s="164">
        <f>VLOOKUP($A$11,'[1]6.2. отчет'!$D:$GJ,184,0)</f>
        <v>0</v>
      </c>
      <c r="H47" s="164">
        <f>VLOOKUP($A$11,'[1]6.2. отчет'!$D:$AGO,195,0)</f>
        <v>62.09</v>
      </c>
      <c r="I47" s="164">
        <f>VLOOKUP($A$11,'[1]6.2. отчет'!$D:$AGO,250,0)</f>
        <v>62.09</v>
      </c>
      <c r="J47" s="164">
        <f>VLOOKUP($A$11,'[1]6.2. отчет'!$D:$AGO,261,0)</f>
        <v>62.09</v>
      </c>
      <c r="K47" s="164">
        <f>VLOOKUP($A$11,'[1]6.2. отчет'!$D:$AGO,316,0)</f>
        <v>0</v>
      </c>
    </row>
    <row r="48" spans="1:16" ht="31.5" x14ac:dyDescent="0.25">
      <c r="A48" s="51" t="s">
        <v>60</v>
      </c>
      <c r="B48" s="52" t="s">
        <v>59</v>
      </c>
      <c r="C48" s="164">
        <f>VLOOKUP($A$11,'[1]6.2. отчет'!$D:$FX,173,0)</f>
        <v>0</v>
      </c>
      <c r="D48" s="224">
        <v>0</v>
      </c>
      <c r="E48" s="164">
        <f t="shared" si="7"/>
        <v>0</v>
      </c>
      <c r="F48" s="164">
        <f t="shared" si="8"/>
        <v>0</v>
      </c>
      <c r="G48" s="164">
        <f>VLOOKUP($A$11,'[1]6.2. отчет'!$D:$GJ,185,0)</f>
        <v>0</v>
      </c>
      <c r="H48" s="164">
        <f>VLOOKUP($A$11,'[1]6.2. отчет'!$D:$AGO,196,0)</f>
        <v>0</v>
      </c>
      <c r="I48" s="164">
        <f>VLOOKUP($A$11,'[1]6.2. отчет'!$D:$AGO,251,0)</f>
        <v>0</v>
      </c>
      <c r="J48" s="164">
        <f>VLOOKUP($A$11,'[1]6.2. отчет'!$D:$AGO,262,0)</f>
        <v>0</v>
      </c>
      <c r="K48" s="164">
        <f>VLOOKUP($A$11,'[1]6.2. отчет'!$D:$AGO,317,0)</f>
        <v>0</v>
      </c>
    </row>
    <row r="49" spans="1:11" x14ac:dyDescent="0.25">
      <c r="A49" s="51" t="s">
        <v>58</v>
      </c>
      <c r="B49" s="52" t="s">
        <v>57</v>
      </c>
      <c r="C49" s="164">
        <f>VLOOKUP($A$11,'[1]6.2. отчет'!$D:$FX,174,0)</f>
        <v>0</v>
      </c>
      <c r="D49" s="224">
        <v>0</v>
      </c>
      <c r="E49" s="164">
        <f t="shared" si="7"/>
        <v>0</v>
      </c>
      <c r="F49" s="164">
        <f t="shared" si="8"/>
        <v>0</v>
      </c>
      <c r="G49" s="164">
        <f>VLOOKUP($A$11,'[1]6.2. отчет'!$D:$GJ,186,0)</f>
        <v>0</v>
      </c>
      <c r="H49" s="164">
        <f>VLOOKUP($A$11,'[1]6.2. отчет'!$D:$AGO,197,0)</f>
        <v>0</v>
      </c>
      <c r="I49" s="164">
        <f>VLOOKUP($A$11,'[1]6.2. отчет'!$D:$AGO,252,0)</f>
        <v>0</v>
      </c>
      <c r="J49" s="164">
        <f>VLOOKUP($A$11,'[1]6.2. отчет'!$D:$AGO,263,0)</f>
        <v>0</v>
      </c>
      <c r="K49" s="164">
        <f>VLOOKUP($A$11,'[1]6.2. отчет'!$D:$AGO,318,0)</f>
        <v>0</v>
      </c>
    </row>
    <row r="50" spans="1:11" x14ac:dyDescent="0.25">
      <c r="A50" s="51" t="s">
        <v>56</v>
      </c>
      <c r="B50" s="52" t="s">
        <v>450</v>
      </c>
      <c r="C50" s="164">
        <f>VLOOKUP($A$11,'[1]6.2. отчет'!$D:$FX,175,0)</f>
        <v>0</v>
      </c>
      <c r="D50" s="224">
        <f>VLOOKUP($A$11,'[1]6.2. отчет'!$D:$OZ,412,0)</f>
        <v>0</v>
      </c>
      <c r="E50" s="164">
        <f t="shared" si="7"/>
        <v>0</v>
      </c>
      <c r="F50" s="164">
        <f t="shared" si="8"/>
        <v>0</v>
      </c>
      <c r="G50" s="164">
        <f>VLOOKUP($A$11,'[1]6.2. отчет'!$D:$GJ,187,0)</f>
        <v>0</v>
      </c>
      <c r="H50" s="164">
        <f>VLOOKUP($A$11,'[1]6.2. отчет'!$D:$AGO,198,0)</f>
        <v>0</v>
      </c>
      <c r="I50" s="164">
        <f>VLOOKUP($A$11,'[1]6.2. отчет'!$D:$AGO,253,0)</f>
        <v>0</v>
      </c>
      <c r="J50" s="164">
        <f>VLOOKUP($A$11,'[1]6.2. отчет'!$D:$AGO,264,0)</f>
        <v>0</v>
      </c>
      <c r="K50" s="164">
        <f>VLOOKUP($A$11,'[1]6.2. отчет'!$D:$AGO,319,0)</f>
        <v>0</v>
      </c>
    </row>
    <row r="51" spans="1:11" s="50" customFormat="1" ht="35.25" customHeight="1" x14ac:dyDescent="0.25">
      <c r="A51" s="48" t="s">
        <v>13</v>
      </c>
      <c r="B51" s="49" t="s">
        <v>55</v>
      </c>
      <c r="C51" s="164"/>
      <c r="D51" s="224"/>
      <c r="E51" s="164"/>
      <c r="F51" s="164"/>
      <c r="G51" s="164"/>
      <c r="H51" s="164"/>
      <c r="I51" s="164"/>
      <c r="J51" s="164"/>
      <c r="K51" s="164"/>
    </row>
    <row r="52" spans="1:11" x14ac:dyDescent="0.25">
      <c r="A52" s="51" t="s">
        <v>54</v>
      </c>
      <c r="B52" s="52" t="s">
        <v>53</v>
      </c>
      <c r="C52" s="164">
        <f>VLOOKUP($A$11,'[1]6.2. отчет'!$D:$FX,167,0)</f>
        <v>104.91409443999999</v>
      </c>
      <c r="D52" s="224">
        <f>VLOOKUP($A$11,'[1]6.2. отчет'!$D:$OZ,413,0)</f>
        <v>104.91409444</v>
      </c>
      <c r="E52" s="164">
        <f t="shared" ref="E52:E57" si="9">F52+G52</f>
        <v>104.91409443999999</v>
      </c>
      <c r="F52" s="164">
        <f t="shared" ref="F52:F57" si="10">C52-G52</f>
        <v>104.91409443999999</v>
      </c>
      <c r="G52" s="164">
        <f>VLOOKUP($A$11,'[1]6.2. отчет'!$D:$GJ,179,0)</f>
        <v>0</v>
      </c>
      <c r="H52" s="164">
        <f>VLOOKUP($A$11,'[1]6.2. отчет'!$D:$AGO,190,0)</f>
        <v>104.91409444</v>
      </c>
      <c r="I52" s="164">
        <f>VLOOKUP($A$11,'[1]6.2. отчет'!$D:$AGO,245,0)</f>
        <v>104.91409444</v>
      </c>
      <c r="J52" s="164">
        <f>VLOOKUP($A$11,'[1]6.2. отчет'!$D:$AGO,256,0)</f>
        <v>104.91409444</v>
      </c>
      <c r="K52" s="164">
        <f>VLOOKUP($A$11,'[1]6.2. отчет'!$D:$AGO,311,0)</f>
        <v>0</v>
      </c>
    </row>
    <row r="53" spans="1:11" x14ac:dyDescent="0.25">
      <c r="A53" s="51" t="s">
        <v>52</v>
      </c>
      <c r="B53" s="52" t="s">
        <v>46</v>
      </c>
      <c r="C53" s="164">
        <f>VLOOKUP($A$11,'[1]6.2. отчет'!$D:$FX,168,0)</f>
        <v>0</v>
      </c>
      <c r="D53" s="224">
        <v>0</v>
      </c>
      <c r="E53" s="164">
        <f t="shared" si="9"/>
        <v>0</v>
      </c>
      <c r="F53" s="164">
        <f t="shared" si="10"/>
        <v>0</v>
      </c>
      <c r="G53" s="164">
        <f>VLOOKUP($A$11,'[1]6.2. отчет'!$D:$GJ,180,0)</f>
        <v>0</v>
      </c>
      <c r="H53" s="164">
        <f>VLOOKUP($A$11,'[1]6.2. отчет'!$D:$AGO,191,0)</f>
        <v>0</v>
      </c>
      <c r="I53" s="164">
        <f>VLOOKUP($A$11,'[1]6.2. отчет'!$D:$AGO,246,0)</f>
        <v>0</v>
      </c>
      <c r="J53" s="164">
        <f>VLOOKUP($A$11,'[1]6.2. отчет'!$D:$AGO,257,0)</f>
        <v>0</v>
      </c>
      <c r="K53" s="164">
        <f>VLOOKUP($A$11,'[1]6.2. отчет'!$D:$AGO,312,0)</f>
        <v>0</v>
      </c>
    </row>
    <row r="54" spans="1:11" x14ac:dyDescent="0.25">
      <c r="A54" s="51" t="s">
        <v>51</v>
      </c>
      <c r="B54" s="65" t="s">
        <v>45</v>
      </c>
      <c r="C54" s="164">
        <f>VLOOKUP($A$11,'[1]6.2. отчет'!$D:$FX,169,0)</f>
        <v>6.75</v>
      </c>
      <c r="D54" s="224">
        <f>VLOOKUP($A$11,'[1]6.2. отчет'!$D:$OZ,410,0)</f>
        <v>6.75</v>
      </c>
      <c r="E54" s="164">
        <f t="shared" si="9"/>
        <v>6.75</v>
      </c>
      <c r="F54" s="164">
        <f t="shared" si="10"/>
        <v>6.75</v>
      </c>
      <c r="G54" s="164">
        <f>VLOOKUP($A$11,'[1]6.2. отчет'!$D:$GJ,181,0)</f>
        <v>0</v>
      </c>
      <c r="H54" s="164">
        <f>VLOOKUP($A$11,'[1]6.2. отчет'!$D:$AGO,192,0)</f>
        <v>6.75</v>
      </c>
      <c r="I54" s="164">
        <f>VLOOKUP($A$11,'[1]6.2. отчет'!$D:$AGO,247,0)</f>
        <v>6.75</v>
      </c>
      <c r="J54" s="164">
        <f>VLOOKUP($A$11,'[1]6.2. отчет'!$D:$AGO,258,0)</f>
        <v>6.75</v>
      </c>
      <c r="K54" s="164">
        <f>VLOOKUP($A$11,'[1]6.2. отчет'!$D:$AGO,313,0)</f>
        <v>0</v>
      </c>
    </row>
    <row r="55" spans="1:11" x14ac:dyDescent="0.25">
      <c r="A55" s="51" t="s">
        <v>50</v>
      </c>
      <c r="B55" s="65" t="s">
        <v>44</v>
      </c>
      <c r="C55" s="164">
        <f>VLOOKUP($A$11,'[1]6.2. отчет'!$D:$FX,170,0)</f>
        <v>0</v>
      </c>
      <c r="D55" s="224">
        <f>VLOOKUP($A$11,'[1]6.2. отчет'!$D:$OZ,411,0)</f>
        <v>0</v>
      </c>
      <c r="E55" s="164">
        <f t="shared" si="9"/>
        <v>0</v>
      </c>
      <c r="F55" s="164">
        <f t="shared" si="10"/>
        <v>0</v>
      </c>
      <c r="G55" s="164">
        <f>VLOOKUP($A$11,'[1]6.2. отчет'!$D:$GJ,182,0)</f>
        <v>0</v>
      </c>
      <c r="H55" s="164">
        <f>VLOOKUP($A$11,'[1]6.2. отчет'!$D:$AGO,193,0)</f>
        <v>0</v>
      </c>
      <c r="I55" s="164">
        <f>VLOOKUP($A$11,'[1]6.2. отчет'!$D:$AGO,248,0)</f>
        <v>0</v>
      </c>
      <c r="J55" s="164">
        <f>VLOOKUP($A$11,'[1]6.2. отчет'!$D:$AGO,259,0)</f>
        <v>0</v>
      </c>
      <c r="K55" s="164">
        <f>VLOOKUP($A$11,'[1]6.2. отчет'!$D:$AGO,314,0)</f>
        <v>0</v>
      </c>
    </row>
    <row r="56" spans="1:11" x14ac:dyDescent="0.25">
      <c r="A56" s="51" t="s">
        <v>49</v>
      </c>
      <c r="B56" s="65" t="s">
        <v>43</v>
      </c>
      <c r="C56" s="164">
        <f>VLOOKUP($A$11,'[1]6.2. отчет'!$D:$FX,171,0)</f>
        <v>62.09</v>
      </c>
      <c r="D56" s="224">
        <f>VLOOKUP($A$11,'[1]6.2. отчет'!$D:$OZ,409,0)</f>
        <v>62.09</v>
      </c>
      <c r="E56" s="164">
        <f t="shared" si="9"/>
        <v>62.09</v>
      </c>
      <c r="F56" s="164">
        <f t="shared" si="10"/>
        <v>62.09</v>
      </c>
      <c r="G56" s="164">
        <f>VLOOKUP($A$11,'[1]6.2. отчет'!$D:$GJ,183,0)</f>
        <v>0</v>
      </c>
      <c r="H56" s="164">
        <f>VLOOKUP($A$11,'[1]6.2. отчет'!$D:$AGO,194,0)</f>
        <v>62.09</v>
      </c>
      <c r="I56" s="164">
        <f>VLOOKUP($A$11,'[1]6.2. отчет'!$D:$AGO,249,0)</f>
        <v>62.09</v>
      </c>
      <c r="J56" s="164">
        <f>VLOOKUP($A$11,'[1]6.2. отчет'!$D:$AGO,260,0)</f>
        <v>62.09</v>
      </c>
      <c r="K56" s="164">
        <f>VLOOKUP($A$11,'[1]6.2. отчет'!$D:$AGO,315,0)</f>
        <v>0</v>
      </c>
    </row>
    <row r="57" spans="1:11" x14ac:dyDescent="0.25">
      <c r="A57" s="51" t="s">
        <v>48</v>
      </c>
      <c r="B57" s="52" t="s">
        <v>450</v>
      </c>
      <c r="C57" s="164">
        <f>VLOOKUP($A$11,'[1]6.2. отчет'!$D:$FX,175,0)</f>
        <v>0</v>
      </c>
      <c r="D57" s="224">
        <f>VLOOKUP($A$11,'[1]6.2. отчет'!$D:$OZ,412,0)</f>
        <v>0</v>
      </c>
      <c r="E57" s="164">
        <f t="shared" si="9"/>
        <v>0</v>
      </c>
      <c r="F57" s="164">
        <f t="shared" si="10"/>
        <v>0</v>
      </c>
      <c r="G57" s="164">
        <f>VLOOKUP($A$11,'[1]6.2. отчет'!$D:$GJ,187,0)</f>
        <v>0</v>
      </c>
      <c r="H57" s="164">
        <f>VLOOKUP($A$11,'[1]6.2. отчет'!$D:$AGO,198,0)</f>
        <v>0</v>
      </c>
      <c r="I57" s="164">
        <f>VLOOKUP($A$11,'[1]6.2. отчет'!$D:$AGO,253,0)</f>
        <v>0</v>
      </c>
      <c r="J57" s="164">
        <f>VLOOKUP($A$11,'[1]6.2. отчет'!$D:$AGO,264,0)</f>
        <v>0</v>
      </c>
      <c r="K57" s="164">
        <f>VLOOKUP($A$11,'[1]6.2. отчет'!$D:$AGO,319,0)</f>
        <v>0</v>
      </c>
    </row>
    <row r="58" spans="1:11" s="50" customFormat="1" ht="31.5" x14ac:dyDescent="0.25">
      <c r="A58" s="48" t="s">
        <v>12</v>
      </c>
      <c r="B58" s="55" t="s">
        <v>141</v>
      </c>
      <c r="C58" s="164"/>
      <c r="D58" s="164"/>
      <c r="E58" s="164"/>
      <c r="F58" s="164"/>
      <c r="G58" s="164"/>
      <c r="H58" s="164"/>
      <c r="I58" s="164"/>
      <c r="J58" s="164"/>
      <c r="K58" s="164"/>
    </row>
    <row r="59" spans="1:11" x14ac:dyDescent="0.25">
      <c r="A59" s="48" t="s">
        <v>10</v>
      </c>
      <c r="B59" s="49" t="s">
        <v>47</v>
      </c>
      <c r="C59" s="164"/>
      <c r="D59" s="164"/>
      <c r="E59" s="164"/>
      <c r="F59" s="164"/>
      <c r="G59" s="164"/>
      <c r="H59" s="164"/>
      <c r="I59" s="164"/>
      <c r="J59" s="164"/>
      <c r="K59" s="164"/>
    </row>
    <row r="60" spans="1:11" x14ac:dyDescent="0.25">
      <c r="A60" s="51" t="s">
        <v>135</v>
      </c>
      <c r="B60" s="66" t="s">
        <v>67</v>
      </c>
      <c r="C60" s="164">
        <f>VLOOKUP($A$11,'[1]6.2. отчет'!$D:$AGO,326,0)</f>
        <v>0</v>
      </c>
      <c r="D60" s="164">
        <v>0</v>
      </c>
      <c r="E60" s="164">
        <v>0</v>
      </c>
      <c r="F60" s="164">
        <v>0</v>
      </c>
      <c r="G60" s="164">
        <f>VLOOKUP($A$11,'[1]6.2. отчет'!$D:$AGO,333,0)</f>
        <v>0</v>
      </c>
      <c r="H60" s="164">
        <f>VLOOKUP($A$11,'[1]6.2. отчет'!$D:$AGO,341,0)</f>
        <v>0</v>
      </c>
      <c r="I60" s="164">
        <f>VLOOKUP($A$11,'[1]6.2. отчет'!$D:$AGO,366,0)</f>
        <v>0</v>
      </c>
      <c r="J60" s="164">
        <f>VLOOKUP($A$11,'[1]6.2. отчет'!$D:$AGO,371,0)</f>
        <v>0</v>
      </c>
      <c r="K60" s="164">
        <f>VLOOKUP($A$11,'[1]6.2. отчет'!$D:$AGO,396,0)</f>
        <v>0</v>
      </c>
    </row>
    <row r="61" spans="1:11" x14ac:dyDescent="0.25">
      <c r="A61" s="51" t="s">
        <v>136</v>
      </c>
      <c r="B61" s="66" t="s">
        <v>65</v>
      </c>
      <c r="C61" s="164">
        <f>VLOOKUP($A$11,'[1]6.2. отчет'!$D:$AGO,327,0)</f>
        <v>0</v>
      </c>
      <c r="D61" s="164">
        <v>0</v>
      </c>
      <c r="E61" s="164">
        <v>0</v>
      </c>
      <c r="F61" s="164">
        <v>0</v>
      </c>
      <c r="G61" s="164">
        <f>VLOOKUP($A$11,'[1]6.2. отчет'!$D:$AGO,334,0)</f>
        <v>0</v>
      </c>
      <c r="H61" s="164">
        <f>VLOOKUP($A$11,'[1]6.2. отчет'!$D:$AGO,338,0)</f>
        <v>0</v>
      </c>
      <c r="I61" s="164">
        <f>VLOOKUP($A$11,'[1]6.2. отчет'!$D:$AGO,363,0)</f>
        <v>0</v>
      </c>
      <c r="J61" s="164">
        <f>VLOOKUP($A$11,'[1]6.2. отчет'!$D:$AGO,368,0)</f>
        <v>0</v>
      </c>
      <c r="K61" s="164">
        <f>VLOOKUP($A$11,'[1]6.2. отчет'!$D:$AGO,393,0)</f>
        <v>0</v>
      </c>
    </row>
    <row r="62" spans="1:11" x14ac:dyDescent="0.25">
      <c r="A62" s="51" t="s">
        <v>137</v>
      </c>
      <c r="B62" s="66" t="s">
        <v>63</v>
      </c>
      <c r="C62" s="164">
        <f>VLOOKUP($A$11,'[1]6.2. отчет'!$D:$AGO,328,0)</f>
        <v>0</v>
      </c>
      <c r="D62" s="164">
        <v>0</v>
      </c>
      <c r="E62" s="164">
        <v>0</v>
      </c>
      <c r="F62" s="164">
        <v>0</v>
      </c>
      <c r="G62" s="164">
        <f>VLOOKUP($A$11,'[1]6.2. отчет'!$D:$AGO,335,0)</f>
        <v>0</v>
      </c>
      <c r="H62" s="164">
        <f>VLOOKUP($A$11,'[1]6.2. отчет'!$D:$AGO,339,0)</f>
        <v>0</v>
      </c>
      <c r="I62" s="164">
        <f>VLOOKUP($A$11,'[1]6.2. отчет'!$D:$AGO,364,0)</f>
        <v>0</v>
      </c>
      <c r="J62" s="164">
        <f>VLOOKUP($A$11,'[1]6.2. отчет'!$D:$AGO,369,0)</f>
        <v>0</v>
      </c>
      <c r="K62" s="164">
        <f>VLOOKUP($A$11,'[1]6.2. отчет'!$D:$AGO,394,0)</f>
        <v>0</v>
      </c>
    </row>
    <row r="63" spans="1:11" x14ac:dyDescent="0.25">
      <c r="A63" s="51" t="s">
        <v>138</v>
      </c>
      <c r="B63" s="66" t="s">
        <v>140</v>
      </c>
      <c r="C63" s="164">
        <f>VLOOKUP($A$11,'[1]6.2. отчет'!$D:$AGO,329,0)</f>
        <v>0</v>
      </c>
      <c r="D63" s="164">
        <v>0</v>
      </c>
      <c r="E63" s="164">
        <v>0</v>
      </c>
      <c r="F63" s="164">
        <v>0</v>
      </c>
      <c r="G63" s="164">
        <f>VLOOKUP($A$11,'[1]6.2. отчет'!$D:$AGO,336,0)</f>
        <v>0</v>
      </c>
      <c r="H63" s="164">
        <f>VLOOKUP($A$11,'[1]6.2. отчет'!$D:$AGO,340,0)</f>
        <v>0</v>
      </c>
      <c r="I63" s="164">
        <f>VLOOKUP($A$11,'[1]6.2. отчет'!$D:$AGO,365,0)</f>
        <v>0</v>
      </c>
      <c r="J63" s="164">
        <f>VLOOKUP($A$11,'[1]6.2. отчет'!$D:$AGO,370,0)</f>
        <v>0</v>
      </c>
      <c r="K63" s="164">
        <f>VLOOKUP($A$11,'[1]6.2. отчет'!$D:$AGO,395,0)</f>
        <v>0</v>
      </c>
    </row>
    <row r="64" spans="1:11" ht="18.75" x14ac:dyDescent="0.25">
      <c r="A64" s="51" t="s">
        <v>139</v>
      </c>
      <c r="B64" s="65" t="s">
        <v>42</v>
      </c>
      <c r="C64" s="164">
        <f>VLOOKUP($A$11,'[1]6.2. отчет'!$D:$AGO,330,0)</f>
        <v>0</v>
      </c>
      <c r="D64" s="164">
        <v>0</v>
      </c>
      <c r="E64" s="164">
        <v>0</v>
      </c>
      <c r="F64" s="164">
        <v>0</v>
      </c>
      <c r="G64" s="164">
        <f>VLOOKUP($A$11,'[1]6.2. отчет'!$D:$AGO,337,0)</f>
        <v>0</v>
      </c>
      <c r="H64" s="164">
        <f>VLOOKUP($A$11,'[1]6.2. отчет'!$D:$AGO,342,0)</f>
        <v>0</v>
      </c>
      <c r="I64" s="164">
        <f>VLOOKUP($A$11,'[1]6.2. отчет'!$D:$AGO,367,0)</f>
        <v>0</v>
      </c>
      <c r="J64" s="164">
        <f>VLOOKUP($A$11,'[1]6.2. отчет'!$D:$AGO,372,0)</f>
        <v>0</v>
      </c>
      <c r="K64" s="164">
        <f>VLOOKUP($A$11,'[1]6.2. отчет'!$D:$AGO,396,0)</f>
        <v>0</v>
      </c>
    </row>
    <row r="66" spans="2:11" ht="50.25" customHeight="1" x14ac:dyDescent="0.25">
      <c r="B66" s="322"/>
      <c r="C66" s="322"/>
      <c r="D66" s="322"/>
      <c r="E66" s="322"/>
      <c r="F66" s="322"/>
      <c r="G66" s="322"/>
      <c r="H66" s="322"/>
      <c r="I66" s="322"/>
      <c r="J66" s="322"/>
      <c r="K66" s="322"/>
    </row>
    <row r="68" spans="2:11" ht="36.75" customHeight="1" x14ac:dyDescent="0.25">
      <c r="B68" s="323"/>
      <c r="C68" s="323"/>
      <c r="D68" s="323"/>
      <c r="E68" s="323"/>
      <c r="F68" s="323"/>
      <c r="G68" s="323"/>
      <c r="H68" s="323"/>
      <c r="I68" s="323"/>
      <c r="J68" s="323"/>
      <c r="K68" s="323"/>
    </row>
    <row r="69" spans="2:11" x14ac:dyDescent="0.25">
      <c r="B69" s="56"/>
      <c r="C69" s="56"/>
      <c r="D69" s="57"/>
      <c r="E69" s="57"/>
      <c r="F69" s="57"/>
    </row>
    <row r="70" spans="2:11" ht="51" customHeight="1" x14ac:dyDescent="0.25">
      <c r="B70" s="323"/>
      <c r="C70" s="323"/>
      <c r="D70" s="323"/>
      <c r="E70" s="323"/>
      <c r="F70" s="323"/>
      <c r="G70" s="323"/>
      <c r="H70" s="323"/>
      <c r="I70" s="323"/>
      <c r="J70" s="323"/>
      <c r="K70" s="323"/>
    </row>
    <row r="71" spans="2:11" ht="32.25" customHeight="1" x14ac:dyDescent="0.25">
      <c r="B71" s="322"/>
      <c r="C71" s="322"/>
      <c r="D71" s="322"/>
      <c r="E71" s="322"/>
      <c r="F71" s="322"/>
      <c r="G71" s="322"/>
      <c r="H71" s="322"/>
      <c r="I71" s="322"/>
      <c r="J71" s="322"/>
      <c r="K71" s="322"/>
    </row>
    <row r="72" spans="2:11" ht="51.75" customHeight="1" x14ac:dyDescent="0.25">
      <c r="B72" s="323"/>
      <c r="C72" s="323"/>
      <c r="D72" s="323"/>
      <c r="E72" s="323"/>
      <c r="F72" s="323"/>
      <c r="G72" s="323"/>
      <c r="H72" s="323"/>
      <c r="I72" s="323"/>
      <c r="J72" s="323"/>
      <c r="K72" s="323"/>
    </row>
    <row r="73" spans="2:11" ht="21.75" customHeight="1" x14ac:dyDescent="0.25">
      <c r="B73" s="324"/>
      <c r="C73" s="324"/>
      <c r="D73" s="324"/>
      <c r="E73" s="324"/>
      <c r="F73" s="324"/>
      <c r="G73" s="324"/>
      <c r="H73" s="324"/>
      <c r="I73" s="324"/>
      <c r="J73" s="324"/>
      <c r="K73" s="324"/>
    </row>
    <row r="74" spans="2:11" ht="23.25" customHeight="1" x14ac:dyDescent="0.25">
      <c r="B74" s="58"/>
      <c r="C74" s="58"/>
      <c r="D74" s="57"/>
      <c r="E74" s="57"/>
      <c r="F74" s="57"/>
    </row>
    <row r="75" spans="2:11" ht="18.75" customHeight="1" x14ac:dyDescent="0.25">
      <c r="B75" s="321"/>
      <c r="C75" s="321"/>
      <c r="D75" s="321"/>
      <c r="E75" s="321"/>
      <c r="F75" s="321"/>
      <c r="G75" s="321"/>
      <c r="H75" s="321"/>
      <c r="I75" s="321"/>
      <c r="J75" s="321"/>
      <c r="K75" s="321"/>
    </row>
  </sheetData>
  <mergeCells count="25">
    <mergeCell ref="A3:K3"/>
    <mergeCell ref="A4:K4"/>
    <mergeCell ref="A6:K6"/>
    <mergeCell ref="A8:K8"/>
    <mergeCell ref="A9:K9"/>
    <mergeCell ref="B75:K75"/>
    <mergeCell ref="B66:K66"/>
    <mergeCell ref="B68:K68"/>
    <mergeCell ref="B70:K70"/>
    <mergeCell ref="B71:K71"/>
    <mergeCell ref="B72:K72"/>
    <mergeCell ref="B73:K73"/>
    <mergeCell ref="A19:K19"/>
    <mergeCell ref="A14:K14"/>
    <mergeCell ref="A11:K11"/>
    <mergeCell ref="A20:A22"/>
    <mergeCell ref="B20:B22"/>
    <mergeCell ref="C20:D21"/>
    <mergeCell ref="E20:F21"/>
    <mergeCell ref="G20:G22"/>
    <mergeCell ref="H20:K20"/>
    <mergeCell ref="H21:I21"/>
    <mergeCell ref="J21:K21"/>
    <mergeCell ref="A12:K12"/>
    <mergeCell ref="A15:K15"/>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C30">
    <cfRule type="cellIs" dxfId="1" priority="1" operator="notEqual">
      <formula>C31+C32+C33+C34</formula>
    </cfRule>
  </conditionalFormatting>
  <conditionalFormatting sqref="D30">
    <cfRule type="cellIs" dxfId="0" priority="2" operator="notEqual">
      <formula>D31+D32+D33+D34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tabSelected="1" view="pageBreakPreview" topLeftCell="A17" zoomScale="70" zoomScaleSheetLayoutView="70" workbookViewId="0">
      <selection activeCell="AE41" sqref="AE41"/>
    </sheetView>
  </sheetViews>
  <sheetFormatPr defaultColWidth="9.140625" defaultRowHeight="15" x14ac:dyDescent="0.25"/>
  <cols>
    <col min="1" max="1" width="6.140625" style="60" customWidth="1"/>
    <col min="2" max="2" width="23.140625" style="60" customWidth="1"/>
    <col min="3" max="3" width="19.85546875" style="60" customWidth="1"/>
    <col min="4" max="4" width="15.140625" style="60" customWidth="1"/>
    <col min="5" max="12" width="7.7109375" style="60" customWidth="1"/>
    <col min="13" max="13" width="10.7109375" style="60" customWidth="1"/>
    <col min="14" max="14" width="21.42578125" style="60" customWidth="1"/>
    <col min="15" max="15" width="17.42578125" style="60" customWidth="1"/>
    <col min="16" max="17" width="13.42578125" style="60" customWidth="1"/>
    <col min="18" max="18" width="17" style="60" customWidth="1"/>
    <col min="19" max="20" width="9.7109375" style="60" customWidth="1"/>
    <col min="21" max="21" width="11.42578125" style="60" customWidth="1"/>
    <col min="22" max="22" width="12.7109375" style="60" customWidth="1"/>
    <col min="23" max="23" width="22.140625" style="60" customWidth="1"/>
    <col min="24" max="24" width="17" style="60" customWidth="1"/>
    <col min="25" max="25" width="16.7109375" style="60" customWidth="1"/>
    <col min="26" max="26" width="7.7109375" style="60" customWidth="1"/>
    <col min="27" max="27" width="17.28515625" style="60" customWidth="1"/>
    <col min="28" max="28" width="16.5703125" style="60" customWidth="1"/>
    <col min="29" max="29" width="18.28515625" style="60" customWidth="1"/>
    <col min="30" max="30" width="16.42578125" style="60" customWidth="1"/>
    <col min="31" max="31" width="15.85546875" style="60" customWidth="1"/>
    <col min="32" max="32" width="11.7109375" style="60" customWidth="1"/>
    <col min="33" max="33" width="11.5703125" style="60" customWidth="1"/>
    <col min="34" max="34" width="12" style="60" customWidth="1"/>
    <col min="35" max="35" width="14.140625" style="60" customWidth="1"/>
    <col min="36" max="36" width="11.7109375" style="60" customWidth="1"/>
    <col min="37" max="37" width="12" style="60" customWidth="1"/>
    <col min="38" max="38" width="12.28515625" style="60" customWidth="1"/>
    <col min="39" max="39" width="9.7109375" style="60" customWidth="1"/>
    <col min="40" max="40" width="12.42578125" style="60" customWidth="1"/>
    <col min="41" max="41" width="9.7109375" style="60" customWidth="1"/>
    <col min="42" max="42" width="12.42578125" style="60" customWidth="1"/>
    <col min="43" max="43" width="12" style="60" customWidth="1"/>
    <col min="44" max="44" width="14.140625" style="60" customWidth="1"/>
    <col min="45" max="45" width="13.28515625" style="60" customWidth="1"/>
    <col min="46" max="46" width="18.28515625" style="60" customWidth="1"/>
    <col min="47" max="47" width="10.7109375" style="60" customWidth="1"/>
    <col min="48" max="48" width="58.7109375" style="60" customWidth="1"/>
    <col min="49" max="16384" width="9.140625" style="60"/>
  </cols>
  <sheetData>
    <row r="1" spans="1:48" ht="18.75" x14ac:dyDescent="0.25">
      <c r="AV1" s="16" t="s">
        <v>22</v>
      </c>
    </row>
    <row r="2" spans="1:48" ht="18.75" x14ac:dyDescent="0.3">
      <c r="AV2" s="14" t="s">
        <v>6</v>
      </c>
    </row>
    <row r="3" spans="1:48" ht="18.75" x14ac:dyDescent="0.3">
      <c r="AV3" s="14" t="s">
        <v>21</v>
      </c>
    </row>
    <row r="4" spans="1:48" ht="18.75" x14ac:dyDescent="0.3">
      <c r="A4" s="59"/>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14"/>
    </row>
    <row r="5" spans="1:48" s="44" customFormat="1" ht="20.25" customHeight="1" x14ac:dyDescent="0.25">
      <c r="A5" s="249"/>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s="75" customFormat="1" ht="18.75" x14ac:dyDescent="0.3">
      <c r="A6" s="13"/>
      <c r="B6" s="13"/>
      <c r="D6" s="287"/>
      <c r="E6" s="287"/>
      <c r="F6" s="287"/>
      <c r="G6" s="287"/>
      <c r="H6" s="287"/>
      <c r="I6" s="287"/>
      <c r="L6" s="14"/>
    </row>
    <row r="7" spans="1:48" s="75" customFormat="1" ht="15.75" x14ac:dyDescent="0.25">
      <c r="D7" s="12"/>
      <c r="E7" s="12"/>
      <c r="F7" s="12"/>
      <c r="G7" s="12"/>
      <c r="H7" s="12"/>
      <c r="I7" s="12"/>
      <c r="J7" s="12"/>
      <c r="T7" s="239" t="str">
        <f>'1. паспорт местоположение'!$A$5</f>
        <v>Год раскрытия информации: 2025 год</v>
      </c>
      <c r="U7" s="239"/>
      <c r="V7" s="239"/>
      <c r="W7" s="239"/>
      <c r="X7" s="239"/>
      <c r="Y7" s="239"/>
      <c r="Z7" s="239"/>
      <c r="AA7" s="239"/>
      <c r="AB7" s="239"/>
      <c r="AC7" s="239"/>
      <c r="AD7" s="239"/>
    </row>
    <row r="8" spans="1:48" s="75" customFormat="1" ht="18.75" x14ac:dyDescent="0.3">
      <c r="H8" s="14"/>
      <c r="T8" s="276"/>
      <c r="U8" s="276"/>
      <c r="V8" s="276"/>
      <c r="W8" s="276"/>
      <c r="X8" s="276"/>
      <c r="Y8" s="276"/>
      <c r="Z8" s="276"/>
      <c r="AA8" s="276"/>
      <c r="AB8" s="276"/>
      <c r="AC8" s="276"/>
      <c r="AD8" s="276"/>
    </row>
    <row r="9" spans="1:48" s="75" customFormat="1" ht="18.75" x14ac:dyDescent="0.2">
      <c r="D9" s="17"/>
      <c r="E9" s="17"/>
      <c r="F9" s="17"/>
      <c r="G9" s="17"/>
      <c r="H9" s="17"/>
      <c r="I9" s="17"/>
      <c r="J9" s="17"/>
      <c r="K9" s="17"/>
      <c r="L9" s="17"/>
      <c r="M9" s="17"/>
      <c r="N9" s="17"/>
      <c r="O9" s="17"/>
      <c r="P9" s="17"/>
      <c r="Q9" s="17"/>
      <c r="R9" s="17"/>
      <c r="S9" s="17"/>
      <c r="T9" s="243" t="s">
        <v>5</v>
      </c>
      <c r="U9" s="243"/>
      <c r="V9" s="243"/>
      <c r="W9" s="243"/>
      <c r="X9" s="243"/>
      <c r="Y9" s="243"/>
      <c r="Z9" s="243"/>
      <c r="AA9" s="243"/>
      <c r="AB9" s="243"/>
      <c r="AC9" s="243"/>
      <c r="AD9" s="243"/>
    </row>
    <row r="10" spans="1:48" s="75" customFormat="1" ht="18.75" x14ac:dyDescent="0.2">
      <c r="D10" s="80"/>
      <c r="E10" s="80"/>
      <c r="F10" s="80"/>
      <c r="G10" s="80"/>
      <c r="H10" s="80"/>
      <c r="I10" s="17"/>
      <c r="J10" s="17"/>
      <c r="K10" s="17"/>
      <c r="L10" s="17"/>
      <c r="M10" s="17"/>
      <c r="N10" s="17"/>
      <c r="O10" s="17"/>
      <c r="P10" s="17"/>
      <c r="Q10" s="17"/>
      <c r="R10" s="17"/>
      <c r="S10" s="17"/>
      <c r="T10" s="243"/>
      <c r="U10" s="243"/>
      <c r="V10" s="243"/>
      <c r="W10" s="243"/>
      <c r="X10" s="243"/>
      <c r="Y10" s="243"/>
      <c r="Z10" s="243"/>
      <c r="AA10" s="243"/>
      <c r="AB10" s="243"/>
      <c r="AC10" s="243"/>
      <c r="AD10" s="243"/>
    </row>
    <row r="11" spans="1:48" s="75" customFormat="1" ht="18.75" x14ac:dyDescent="0.2">
      <c r="D11" s="18"/>
      <c r="E11" s="18"/>
      <c r="F11" s="18"/>
      <c r="G11" s="18"/>
      <c r="H11" s="18"/>
      <c r="I11" s="17"/>
      <c r="J11" s="17"/>
      <c r="K11" s="17"/>
      <c r="L11" s="17"/>
      <c r="M11" s="17"/>
      <c r="N11" s="17"/>
      <c r="O11" s="17"/>
      <c r="P11" s="17"/>
      <c r="Q11" s="17"/>
      <c r="R11" s="17"/>
      <c r="S11" s="17"/>
      <c r="T11" s="244" t="s">
        <v>264</v>
      </c>
      <c r="U11" s="244"/>
      <c r="V11" s="244"/>
      <c r="W11" s="244"/>
      <c r="X11" s="244"/>
      <c r="Y11" s="244"/>
      <c r="Z11" s="244"/>
      <c r="AA11" s="244"/>
      <c r="AB11" s="244"/>
      <c r="AC11" s="244"/>
      <c r="AD11" s="244"/>
    </row>
    <row r="12" spans="1:48" s="75" customFormat="1" ht="18.75" x14ac:dyDescent="0.2">
      <c r="D12" s="15"/>
      <c r="E12" s="15"/>
      <c r="F12" s="15"/>
      <c r="G12" s="15"/>
      <c r="H12" s="15"/>
      <c r="I12" s="17"/>
      <c r="J12" s="17"/>
      <c r="K12" s="17"/>
      <c r="L12" s="17"/>
      <c r="M12" s="17"/>
      <c r="N12" s="17"/>
      <c r="O12" s="17"/>
      <c r="P12" s="17"/>
      <c r="Q12" s="17"/>
      <c r="R12" s="17"/>
      <c r="S12" s="17"/>
      <c r="T12" s="249" t="s">
        <v>4</v>
      </c>
      <c r="U12" s="249"/>
      <c r="V12" s="249"/>
      <c r="W12" s="249"/>
      <c r="X12" s="249"/>
      <c r="Y12" s="249"/>
      <c r="Z12" s="249"/>
      <c r="AA12" s="249"/>
      <c r="AB12" s="249"/>
      <c r="AC12" s="249"/>
      <c r="AD12" s="249"/>
    </row>
    <row r="13" spans="1:48" s="75" customFormat="1" ht="18.75" x14ac:dyDescent="0.2">
      <c r="D13" s="80"/>
      <c r="E13" s="80"/>
      <c r="F13" s="80"/>
      <c r="G13" s="80"/>
      <c r="H13" s="80"/>
      <c r="I13" s="17"/>
      <c r="J13" s="17"/>
      <c r="K13" s="17"/>
      <c r="L13" s="17"/>
      <c r="M13" s="17"/>
      <c r="N13" s="17"/>
      <c r="O13" s="17"/>
      <c r="P13" s="17"/>
      <c r="Q13" s="17"/>
      <c r="R13" s="17"/>
      <c r="S13" s="17"/>
      <c r="T13" s="243"/>
      <c r="U13" s="243"/>
      <c r="V13" s="243"/>
      <c r="W13" s="243"/>
      <c r="X13" s="243"/>
      <c r="Y13" s="243"/>
      <c r="Z13" s="243"/>
      <c r="AA13" s="243"/>
      <c r="AB13" s="243"/>
      <c r="AC13" s="243"/>
      <c r="AD13" s="243"/>
    </row>
    <row r="14" spans="1:48" s="75" customFormat="1" ht="18.75" x14ac:dyDescent="0.2">
      <c r="D14" s="18"/>
      <c r="E14" s="18"/>
      <c r="F14" s="18"/>
      <c r="G14" s="18"/>
      <c r="H14" s="18"/>
      <c r="I14" s="17"/>
      <c r="J14" s="17"/>
      <c r="K14" s="17"/>
      <c r="L14" s="17"/>
      <c r="M14" s="17"/>
      <c r="N14" s="17"/>
      <c r="O14" s="17"/>
      <c r="P14" s="17"/>
      <c r="Q14" s="17"/>
      <c r="R14" s="17"/>
      <c r="S14" s="17"/>
      <c r="T14" s="244" t="str">
        <f>'1. паспорт местоположение'!$A$12</f>
        <v>L_Che367</v>
      </c>
      <c r="U14" s="244"/>
      <c r="V14" s="244"/>
      <c r="W14" s="244"/>
      <c r="X14" s="244"/>
      <c r="Y14" s="244"/>
      <c r="Z14" s="244"/>
      <c r="AA14" s="244"/>
      <c r="AB14" s="244"/>
      <c r="AC14" s="244"/>
      <c r="AD14" s="244"/>
    </row>
    <row r="15" spans="1:48" s="75" customFormat="1" ht="18.75" x14ac:dyDescent="0.2">
      <c r="D15" s="15"/>
      <c r="E15" s="15"/>
      <c r="F15" s="15"/>
      <c r="G15" s="15"/>
      <c r="H15" s="15"/>
      <c r="I15" s="17"/>
      <c r="J15" s="17"/>
      <c r="K15" s="17"/>
      <c r="L15" s="17"/>
      <c r="M15" s="17"/>
      <c r="N15" s="17"/>
      <c r="O15" s="17"/>
      <c r="P15" s="17"/>
      <c r="Q15" s="17"/>
      <c r="R15" s="17"/>
      <c r="S15" s="17"/>
      <c r="T15" s="249" t="s">
        <v>3</v>
      </c>
      <c r="U15" s="249"/>
      <c r="V15" s="249"/>
      <c r="W15" s="249"/>
      <c r="X15" s="249"/>
      <c r="Y15" s="249"/>
      <c r="Z15" s="249"/>
      <c r="AA15" s="249"/>
      <c r="AB15" s="249"/>
      <c r="AC15" s="249"/>
      <c r="AD15" s="249"/>
    </row>
    <row r="16" spans="1:48" s="78" customFormat="1" ht="15.75" customHeight="1" x14ac:dyDescent="0.2">
      <c r="D16" s="1"/>
      <c r="E16" s="1"/>
      <c r="F16" s="1"/>
      <c r="G16" s="1"/>
      <c r="H16" s="1"/>
      <c r="I16" s="1"/>
      <c r="J16" s="1"/>
      <c r="K16" s="1"/>
      <c r="L16" s="1"/>
      <c r="M16" s="1"/>
      <c r="N16" s="1"/>
      <c r="O16" s="1"/>
      <c r="P16" s="1"/>
      <c r="Q16" s="1"/>
      <c r="R16" s="1"/>
      <c r="S16" s="1"/>
      <c r="T16" s="251"/>
      <c r="U16" s="251"/>
      <c r="V16" s="251"/>
      <c r="W16" s="251"/>
      <c r="X16" s="251"/>
      <c r="Y16" s="251"/>
      <c r="Z16" s="251"/>
      <c r="AA16" s="251"/>
      <c r="AB16" s="251"/>
      <c r="AC16" s="251"/>
      <c r="AD16" s="251"/>
    </row>
    <row r="17" spans="1:48" s="25" customFormat="1" ht="78.75" customHeight="1" x14ac:dyDescent="0.2">
      <c r="D17" s="18"/>
      <c r="E17" s="18"/>
      <c r="F17" s="18"/>
      <c r="G17" s="18"/>
      <c r="H17" s="18"/>
      <c r="I17" s="18"/>
      <c r="J17" s="18"/>
      <c r="K17" s="18"/>
      <c r="L17" s="18"/>
      <c r="M17" s="18"/>
      <c r="N17" s="18"/>
      <c r="O17" s="250"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P17" s="250"/>
      <c r="Q17" s="250"/>
      <c r="R17" s="250"/>
      <c r="S17" s="250"/>
      <c r="T17" s="250"/>
      <c r="U17" s="250"/>
      <c r="V17" s="250"/>
      <c r="W17" s="250"/>
      <c r="X17" s="250"/>
      <c r="Y17" s="250"/>
      <c r="Z17" s="250"/>
      <c r="AA17" s="250"/>
      <c r="AB17" s="250"/>
      <c r="AC17" s="250"/>
      <c r="AD17" s="250"/>
      <c r="AE17" s="250"/>
      <c r="AF17" s="250"/>
      <c r="AG17" s="250"/>
      <c r="AH17" s="250"/>
      <c r="AI17" s="250"/>
      <c r="AJ17" s="250"/>
      <c r="AK17" s="250"/>
    </row>
    <row r="18" spans="1:48" s="25" customFormat="1" ht="15" customHeight="1" x14ac:dyDescent="0.2">
      <c r="D18" s="15"/>
      <c r="E18" s="15"/>
      <c r="F18" s="15"/>
      <c r="G18" s="15"/>
      <c r="H18" s="15"/>
      <c r="I18" s="15"/>
      <c r="J18" s="15"/>
      <c r="K18" s="15"/>
      <c r="L18" s="15"/>
      <c r="M18" s="15"/>
      <c r="N18" s="15"/>
      <c r="O18" s="15"/>
      <c r="P18" s="15"/>
      <c r="Q18" s="15"/>
      <c r="R18" s="15"/>
      <c r="S18" s="15"/>
      <c r="T18" s="249" t="s">
        <v>2</v>
      </c>
      <c r="U18" s="249"/>
      <c r="V18" s="249"/>
      <c r="W18" s="249"/>
      <c r="X18" s="249"/>
      <c r="Y18" s="249"/>
      <c r="Z18" s="249"/>
      <c r="AA18" s="249"/>
      <c r="AB18" s="249"/>
      <c r="AC18" s="249"/>
      <c r="AD18" s="249"/>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x14ac:dyDescent="0.25">
      <c r="A20" s="345" t="s">
        <v>390</v>
      </c>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ht="69.75" customHeight="1" x14ac:dyDescent="0.25">
      <c r="A21" s="328" t="s">
        <v>391</v>
      </c>
      <c r="B21" s="337" t="s">
        <v>454</v>
      </c>
      <c r="C21" s="328" t="s">
        <v>392</v>
      </c>
      <c r="D21" s="328" t="s">
        <v>393</v>
      </c>
      <c r="E21" s="340" t="s">
        <v>394</v>
      </c>
      <c r="F21" s="341"/>
      <c r="G21" s="341"/>
      <c r="H21" s="341"/>
      <c r="I21" s="341"/>
      <c r="J21" s="341"/>
      <c r="K21" s="341"/>
      <c r="L21" s="342"/>
      <c r="M21" s="328" t="s">
        <v>395</v>
      </c>
      <c r="N21" s="328" t="s">
        <v>396</v>
      </c>
      <c r="O21" s="328" t="s">
        <v>397</v>
      </c>
      <c r="P21" s="327" t="s">
        <v>398</v>
      </c>
      <c r="Q21" s="327" t="s">
        <v>399</v>
      </c>
      <c r="R21" s="327" t="s">
        <v>400</v>
      </c>
      <c r="S21" s="327" t="s">
        <v>401</v>
      </c>
      <c r="T21" s="327"/>
      <c r="U21" s="326" t="s">
        <v>402</v>
      </c>
      <c r="V21" s="326" t="s">
        <v>403</v>
      </c>
      <c r="W21" s="327" t="s">
        <v>404</v>
      </c>
      <c r="X21" s="327" t="s">
        <v>405</v>
      </c>
      <c r="Y21" s="327" t="s">
        <v>406</v>
      </c>
      <c r="Z21" s="343" t="s">
        <v>407</v>
      </c>
      <c r="AA21" s="327" t="s">
        <v>408</v>
      </c>
      <c r="AB21" s="327" t="s">
        <v>409</v>
      </c>
      <c r="AC21" s="327" t="s">
        <v>410</v>
      </c>
      <c r="AD21" s="327" t="s">
        <v>411</v>
      </c>
      <c r="AE21" s="327" t="s">
        <v>412</v>
      </c>
      <c r="AF21" s="327" t="s">
        <v>413</v>
      </c>
      <c r="AG21" s="327"/>
      <c r="AH21" s="327"/>
      <c r="AI21" s="327"/>
      <c r="AJ21" s="327"/>
      <c r="AK21" s="327"/>
      <c r="AL21" s="327" t="s">
        <v>414</v>
      </c>
      <c r="AM21" s="327"/>
      <c r="AN21" s="327"/>
      <c r="AO21" s="327"/>
      <c r="AP21" s="327" t="s">
        <v>415</v>
      </c>
      <c r="AQ21" s="327"/>
      <c r="AR21" s="327" t="s">
        <v>416</v>
      </c>
      <c r="AS21" s="327" t="s">
        <v>417</v>
      </c>
      <c r="AT21" s="327" t="s">
        <v>418</v>
      </c>
      <c r="AU21" s="327" t="s">
        <v>419</v>
      </c>
      <c r="AV21" s="348" t="s">
        <v>420</v>
      </c>
    </row>
    <row r="22" spans="1:48" ht="83.25" customHeight="1" x14ac:dyDescent="0.25">
      <c r="A22" s="334"/>
      <c r="B22" s="338"/>
      <c r="C22" s="334"/>
      <c r="D22" s="334"/>
      <c r="E22" s="346" t="s">
        <v>421</v>
      </c>
      <c r="F22" s="335" t="s">
        <v>46</v>
      </c>
      <c r="G22" s="335" t="s">
        <v>45</v>
      </c>
      <c r="H22" s="335" t="s">
        <v>44</v>
      </c>
      <c r="I22" s="330" t="s">
        <v>422</v>
      </c>
      <c r="J22" s="330" t="s">
        <v>423</v>
      </c>
      <c r="K22" s="330" t="s">
        <v>424</v>
      </c>
      <c r="L22" s="335" t="s">
        <v>383</v>
      </c>
      <c r="M22" s="334"/>
      <c r="N22" s="334"/>
      <c r="O22" s="334"/>
      <c r="P22" s="327"/>
      <c r="Q22" s="327"/>
      <c r="R22" s="327"/>
      <c r="S22" s="332" t="s">
        <v>0</v>
      </c>
      <c r="T22" s="332" t="s">
        <v>425</v>
      </c>
      <c r="U22" s="326"/>
      <c r="V22" s="326"/>
      <c r="W22" s="327"/>
      <c r="X22" s="327"/>
      <c r="Y22" s="327"/>
      <c r="Z22" s="327"/>
      <c r="AA22" s="327"/>
      <c r="AB22" s="327"/>
      <c r="AC22" s="327"/>
      <c r="AD22" s="327"/>
      <c r="AE22" s="327"/>
      <c r="AF22" s="327" t="s">
        <v>426</v>
      </c>
      <c r="AG22" s="327"/>
      <c r="AH22" s="327" t="s">
        <v>427</v>
      </c>
      <c r="AI22" s="327"/>
      <c r="AJ22" s="328" t="s">
        <v>428</v>
      </c>
      <c r="AK22" s="328" t="s">
        <v>429</v>
      </c>
      <c r="AL22" s="328" t="s">
        <v>430</v>
      </c>
      <c r="AM22" s="328" t="s">
        <v>431</v>
      </c>
      <c r="AN22" s="328" t="s">
        <v>432</v>
      </c>
      <c r="AO22" s="328" t="s">
        <v>433</v>
      </c>
      <c r="AP22" s="328" t="s">
        <v>434</v>
      </c>
      <c r="AQ22" s="350" t="s">
        <v>425</v>
      </c>
      <c r="AR22" s="327"/>
      <c r="AS22" s="327"/>
      <c r="AT22" s="327"/>
      <c r="AU22" s="327"/>
      <c r="AV22" s="349"/>
    </row>
    <row r="23" spans="1:48" ht="96.75" customHeight="1" x14ac:dyDescent="0.25">
      <c r="A23" s="329"/>
      <c r="B23" s="339"/>
      <c r="C23" s="329"/>
      <c r="D23" s="329"/>
      <c r="E23" s="347"/>
      <c r="F23" s="336"/>
      <c r="G23" s="336"/>
      <c r="H23" s="336"/>
      <c r="I23" s="331"/>
      <c r="J23" s="331"/>
      <c r="K23" s="331"/>
      <c r="L23" s="336"/>
      <c r="M23" s="329"/>
      <c r="N23" s="329"/>
      <c r="O23" s="329"/>
      <c r="P23" s="327"/>
      <c r="Q23" s="327"/>
      <c r="R23" s="327"/>
      <c r="S23" s="333"/>
      <c r="T23" s="333"/>
      <c r="U23" s="326"/>
      <c r="V23" s="326"/>
      <c r="W23" s="327"/>
      <c r="X23" s="327"/>
      <c r="Y23" s="327"/>
      <c r="Z23" s="327"/>
      <c r="AA23" s="327"/>
      <c r="AB23" s="327"/>
      <c r="AC23" s="327"/>
      <c r="AD23" s="327"/>
      <c r="AE23" s="327"/>
      <c r="AF23" s="83" t="s">
        <v>435</v>
      </c>
      <c r="AG23" s="83" t="s">
        <v>436</v>
      </c>
      <c r="AH23" s="61" t="s">
        <v>0</v>
      </c>
      <c r="AI23" s="61" t="s">
        <v>425</v>
      </c>
      <c r="AJ23" s="329"/>
      <c r="AK23" s="329"/>
      <c r="AL23" s="329"/>
      <c r="AM23" s="329"/>
      <c r="AN23" s="329"/>
      <c r="AO23" s="329"/>
      <c r="AP23" s="329"/>
      <c r="AQ23" s="351"/>
      <c r="AR23" s="327"/>
      <c r="AS23" s="327"/>
      <c r="AT23" s="327"/>
      <c r="AU23" s="327"/>
      <c r="AV23" s="349"/>
    </row>
    <row r="24" spans="1:48" s="93" customFormat="1" ht="11.25" x14ac:dyDescent="0.2">
      <c r="A24" s="92">
        <v>1</v>
      </c>
      <c r="B24" s="92">
        <v>2</v>
      </c>
      <c r="C24" s="92">
        <v>4</v>
      </c>
      <c r="D24" s="92">
        <v>5</v>
      </c>
      <c r="E24" s="92">
        <v>6</v>
      </c>
      <c r="F24" s="92">
        <f t="shared" ref="F24:AV24" si="0">E24+1</f>
        <v>7</v>
      </c>
      <c r="G24" s="92">
        <f t="shared" si="0"/>
        <v>8</v>
      </c>
      <c r="H24" s="92">
        <f t="shared" si="0"/>
        <v>9</v>
      </c>
      <c r="I24" s="92">
        <f t="shared" si="0"/>
        <v>10</v>
      </c>
      <c r="J24" s="92">
        <f t="shared" si="0"/>
        <v>11</v>
      </c>
      <c r="K24" s="92">
        <f t="shared" si="0"/>
        <v>12</v>
      </c>
      <c r="L24" s="92">
        <f t="shared" si="0"/>
        <v>13</v>
      </c>
      <c r="M24" s="92">
        <f t="shared" si="0"/>
        <v>14</v>
      </c>
      <c r="N24" s="92">
        <f t="shared" si="0"/>
        <v>15</v>
      </c>
      <c r="O24" s="92">
        <f t="shared" si="0"/>
        <v>16</v>
      </c>
      <c r="P24" s="92">
        <f t="shared" si="0"/>
        <v>17</v>
      </c>
      <c r="Q24" s="92">
        <f t="shared" si="0"/>
        <v>18</v>
      </c>
      <c r="R24" s="92">
        <f t="shared" si="0"/>
        <v>19</v>
      </c>
      <c r="S24" s="92">
        <f t="shared" si="0"/>
        <v>20</v>
      </c>
      <c r="T24" s="92">
        <f t="shared" si="0"/>
        <v>21</v>
      </c>
      <c r="U24" s="92">
        <f t="shared" si="0"/>
        <v>22</v>
      </c>
      <c r="V24" s="92">
        <f t="shared" si="0"/>
        <v>23</v>
      </c>
      <c r="W24" s="92">
        <f t="shared" si="0"/>
        <v>24</v>
      </c>
      <c r="X24" s="92">
        <f t="shared" si="0"/>
        <v>25</v>
      </c>
      <c r="Y24" s="92">
        <f t="shared" si="0"/>
        <v>26</v>
      </c>
      <c r="Z24" s="92">
        <f t="shared" si="0"/>
        <v>27</v>
      </c>
      <c r="AA24" s="92">
        <f t="shared" si="0"/>
        <v>28</v>
      </c>
      <c r="AB24" s="92">
        <f t="shared" si="0"/>
        <v>29</v>
      </c>
      <c r="AC24" s="92">
        <f t="shared" si="0"/>
        <v>30</v>
      </c>
      <c r="AD24" s="92">
        <f t="shared" si="0"/>
        <v>31</v>
      </c>
      <c r="AE24" s="92">
        <f t="shared" si="0"/>
        <v>32</v>
      </c>
      <c r="AF24" s="92">
        <f t="shared" si="0"/>
        <v>33</v>
      </c>
      <c r="AG24" s="92">
        <f t="shared" si="0"/>
        <v>34</v>
      </c>
      <c r="AH24" s="92">
        <f t="shared" si="0"/>
        <v>35</v>
      </c>
      <c r="AI24" s="92">
        <f t="shared" si="0"/>
        <v>36</v>
      </c>
      <c r="AJ24" s="92">
        <f t="shared" si="0"/>
        <v>37</v>
      </c>
      <c r="AK24" s="92">
        <f t="shared" si="0"/>
        <v>38</v>
      </c>
      <c r="AL24" s="92">
        <f t="shared" si="0"/>
        <v>39</v>
      </c>
      <c r="AM24" s="92">
        <f t="shared" si="0"/>
        <v>40</v>
      </c>
      <c r="AN24" s="92">
        <f t="shared" si="0"/>
        <v>41</v>
      </c>
      <c r="AO24" s="92">
        <f t="shared" si="0"/>
        <v>42</v>
      </c>
      <c r="AP24" s="92">
        <f t="shared" si="0"/>
        <v>43</v>
      </c>
      <c r="AQ24" s="92">
        <f t="shared" si="0"/>
        <v>44</v>
      </c>
      <c r="AR24" s="92">
        <f t="shared" si="0"/>
        <v>45</v>
      </c>
      <c r="AS24" s="92">
        <f t="shared" si="0"/>
        <v>46</v>
      </c>
      <c r="AT24" s="92">
        <f t="shared" si="0"/>
        <v>47</v>
      </c>
      <c r="AU24" s="92">
        <f t="shared" si="0"/>
        <v>48</v>
      </c>
      <c r="AV24" s="92">
        <f t="shared" si="0"/>
        <v>49</v>
      </c>
    </row>
    <row r="25" spans="1:48" s="159" customFormat="1" ht="76.5" x14ac:dyDescent="0.2">
      <c r="A25" s="171">
        <v>1</v>
      </c>
      <c r="B25" s="352" t="s">
        <v>264</v>
      </c>
      <c r="C25" s="355" t="s">
        <v>462</v>
      </c>
      <c r="D25" s="358">
        <v>45383</v>
      </c>
      <c r="E25" s="361">
        <v>0</v>
      </c>
      <c r="F25" s="361">
        <v>0</v>
      </c>
      <c r="G25" s="361">
        <v>6.75</v>
      </c>
      <c r="H25" s="361">
        <v>0</v>
      </c>
      <c r="I25" s="361">
        <v>62.09</v>
      </c>
      <c r="J25" s="361">
        <v>0</v>
      </c>
      <c r="K25" s="361">
        <v>0</v>
      </c>
      <c r="L25" s="361">
        <v>0</v>
      </c>
      <c r="M25" s="171" t="s">
        <v>460</v>
      </c>
      <c r="N25" s="173" t="s">
        <v>460</v>
      </c>
      <c r="O25" s="364" t="s">
        <v>463</v>
      </c>
      <c r="P25" s="174">
        <v>118117.09</v>
      </c>
      <c r="Q25" s="173" t="s">
        <v>464</v>
      </c>
      <c r="R25" s="174">
        <v>118117.09</v>
      </c>
      <c r="S25" s="171" t="s">
        <v>465</v>
      </c>
      <c r="T25" s="171" t="s">
        <v>465</v>
      </c>
      <c r="U25" s="171">
        <v>2</v>
      </c>
      <c r="V25" s="171">
        <v>2</v>
      </c>
      <c r="W25" s="173" t="s">
        <v>466</v>
      </c>
      <c r="X25" s="182" t="s">
        <v>467</v>
      </c>
      <c r="Y25" s="173" t="s">
        <v>468</v>
      </c>
      <c r="Z25" s="171">
        <v>1</v>
      </c>
      <c r="AA25" s="173" t="s">
        <v>623</v>
      </c>
      <c r="AB25" s="174">
        <v>119949.58474999999</v>
      </c>
      <c r="AC25" s="173" t="s">
        <v>469</v>
      </c>
      <c r="AD25" s="174">
        <v>143939.50169999999</v>
      </c>
      <c r="AE25" s="171"/>
      <c r="AF25" s="173">
        <v>977287</v>
      </c>
      <c r="AG25" s="171" t="s">
        <v>470</v>
      </c>
      <c r="AH25" s="172">
        <v>43159</v>
      </c>
      <c r="AI25" s="172">
        <v>43159</v>
      </c>
      <c r="AJ25" s="172">
        <v>43241</v>
      </c>
      <c r="AK25" s="172">
        <v>43319</v>
      </c>
      <c r="AL25" s="171" t="s">
        <v>294</v>
      </c>
      <c r="AM25" s="171" t="s">
        <v>294</v>
      </c>
      <c r="AN25" s="171" t="s">
        <v>294</v>
      </c>
      <c r="AO25" s="171" t="s">
        <v>294</v>
      </c>
      <c r="AP25" s="183">
        <v>43329</v>
      </c>
      <c r="AQ25" s="183">
        <v>43329</v>
      </c>
      <c r="AR25" s="183">
        <v>43329</v>
      </c>
      <c r="AS25" s="183">
        <v>43329</v>
      </c>
      <c r="AT25" s="183">
        <v>43586</v>
      </c>
      <c r="AU25" s="171"/>
      <c r="AV25" s="219" t="s">
        <v>669</v>
      </c>
    </row>
    <row r="26" spans="1:48" ht="104.25" customHeight="1" x14ac:dyDescent="0.25">
      <c r="A26" s="175">
        <v>2</v>
      </c>
      <c r="B26" s="353"/>
      <c r="C26" s="356"/>
      <c r="D26" s="359"/>
      <c r="E26" s="362"/>
      <c r="F26" s="362"/>
      <c r="G26" s="362"/>
      <c r="H26" s="362"/>
      <c r="I26" s="362"/>
      <c r="J26" s="362"/>
      <c r="K26" s="362"/>
      <c r="L26" s="362"/>
      <c r="M26" s="175" t="s">
        <v>624</v>
      </c>
      <c r="N26" s="175" t="s">
        <v>471</v>
      </c>
      <c r="O26" s="365"/>
      <c r="P26" s="176">
        <v>586363.95799999998</v>
      </c>
      <c r="Q26" s="177" t="s">
        <v>455</v>
      </c>
      <c r="R26" s="176">
        <v>586363.95799999998</v>
      </c>
      <c r="S26" s="175" t="s">
        <v>456</v>
      </c>
      <c r="T26" s="175" t="s">
        <v>456</v>
      </c>
      <c r="U26" s="175">
        <v>2</v>
      </c>
      <c r="V26" s="175">
        <v>2</v>
      </c>
      <c r="W26" s="178" t="s">
        <v>472</v>
      </c>
      <c r="X26" s="175" t="s">
        <v>473</v>
      </c>
      <c r="Y26" s="177" t="s">
        <v>474</v>
      </c>
      <c r="Z26" s="179" t="s">
        <v>475</v>
      </c>
      <c r="AA26" s="179" t="s">
        <v>475</v>
      </c>
      <c r="AB26" s="176">
        <v>585191.23</v>
      </c>
      <c r="AC26" s="175" t="s">
        <v>476</v>
      </c>
      <c r="AD26" s="176">
        <v>702229.47600000002</v>
      </c>
      <c r="AE26" s="220">
        <v>5436.8818799999999</v>
      </c>
      <c r="AF26" s="175" t="s">
        <v>652</v>
      </c>
      <c r="AG26" s="180" t="s">
        <v>477</v>
      </c>
      <c r="AH26" s="181">
        <v>43966</v>
      </c>
      <c r="AI26" s="181">
        <v>43966</v>
      </c>
      <c r="AJ26" s="181">
        <v>44076</v>
      </c>
      <c r="AK26" s="181">
        <v>44091</v>
      </c>
      <c r="AL26" s="367" t="s">
        <v>478</v>
      </c>
      <c r="AM26" s="368"/>
      <c r="AN26" s="368"/>
      <c r="AO26" s="369"/>
      <c r="AP26" s="181">
        <v>44110</v>
      </c>
      <c r="AQ26" s="181">
        <v>44110</v>
      </c>
      <c r="AR26" s="181">
        <v>44110</v>
      </c>
      <c r="AS26" s="181">
        <v>44110</v>
      </c>
      <c r="AT26" s="195">
        <v>44681</v>
      </c>
      <c r="AU26" s="196"/>
      <c r="AV26" s="219" t="s">
        <v>657</v>
      </c>
    </row>
    <row r="27" spans="1:48" ht="60" customHeight="1" x14ac:dyDescent="0.25">
      <c r="A27" s="173">
        <v>4</v>
      </c>
      <c r="B27" s="353"/>
      <c r="C27" s="356"/>
      <c r="D27" s="359"/>
      <c r="E27" s="362"/>
      <c r="F27" s="362"/>
      <c r="G27" s="362"/>
      <c r="H27" s="362"/>
      <c r="I27" s="362"/>
      <c r="J27" s="362"/>
      <c r="K27" s="362"/>
      <c r="L27" s="362"/>
      <c r="M27" s="206" t="s">
        <v>645</v>
      </c>
      <c r="N27" s="206" t="s">
        <v>645</v>
      </c>
      <c r="O27" s="365"/>
      <c r="P27" s="176">
        <v>43737.150016666666</v>
      </c>
      <c r="Q27" s="177" t="s">
        <v>455</v>
      </c>
      <c r="R27" s="207">
        <v>43737.150016666666</v>
      </c>
      <c r="S27" s="218" t="s">
        <v>294</v>
      </c>
      <c r="T27" s="218" t="s">
        <v>294</v>
      </c>
      <c r="U27" s="218">
        <v>1</v>
      </c>
      <c r="V27" s="218">
        <v>1</v>
      </c>
      <c r="W27" s="218" t="s">
        <v>658</v>
      </c>
      <c r="X27" s="207">
        <v>43737.150016666666</v>
      </c>
      <c r="Y27" s="218" t="s">
        <v>452</v>
      </c>
      <c r="Z27" s="218" t="s">
        <v>452</v>
      </c>
      <c r="AA27" s="218" t="s">
        <v>452</v>
      </c>
      <c r="AB27" s="207">
        <v>43737.150016666666</v>
      </c>
      <c r="AC27" s="218" t="s">
        <v>658</v>
      </c>
      <c r="AD27" s="207">
        <v>52484.580020000001</v>
      </c>
      <c r="AE27" s="220">
        <v>1161.7441899999999</v>
      </c>
      <c r="AF27" s="370" t="s">
        <v>659</v>
      </c>
      <c r="AG27" s="371"/>
      <c r="AH27" s="371"/>
      <c r="AI27" s="371"/>
      <c r="AJ27" s="371"/>
      <c r="AK27" s="372"/>
      <c r="AL27" s="171" t="s">
        <v>294</v>
      </c>
      <c r="AM27" s="171" t="s">
        <v>294</v>
      </c>
      <c r="AN27" s="171" t="s">
        <v>294</v>
      </c>
      <c r="AO27" s="171" t="s">
        <v>294</v>
      </c>
      <c r="AP27" s="210">
        <v>44207</v>
      </c>
      <c r="AQ27" s="210">
        <v>44207</v>
      </c>
      <c r="AR27" s="210">
        <v>44207</v>
      </c>
      <c r="AS27" s="210">
        <v>44207</v>
      </c>
      <c r="AT27" s="210">
        <v>44681</v>
      </c>
      <c r="AU27" s="209"/>
      <c r="AV27" s="221" t="s">
        <v>660</v>
      </c>
    </row>
    <row r="28" spans="1:48" ht="39.6" customHeight="1" x14ac:dyDescent="0.25">
      <c r="A28" s="173">
        <v>5</v>
      </c>
      <c r="B28" s="354"/>
      <c r="C28" s="357"/>
      <c r="D28" s="360"/>
      <c r="E28" s="363"/>
      <c r="F28" s="363"/>
      <c r="G28" s="363"/>
      <c r="H28" s="363"/>
      <c r="I28" s="363"/>
      <c r="J28" s="363"/>
      <c r="K28" s="363"/>
      <c r="L28" s="363"/>
      <c r="M28" s="211" t="s">
        <v>646</v>
      </c>
      <c r="N28" s="211" t="s">
        <v>646</v>
      </c>
      <c r="O28" s="366"/>
      <c r="P28" s="176">
        <v>5687.1166833333336</v>
      </c>
      <c r="Q28" s="218" t="s">
        <v>661</v>
      </c>
      <c r="R28" s="207">
        <v>5687.1166833333336</v>
      </c>
      <c r="S28" s="218" t="s">
        <v>662</v>
      </c>
      <c r="T28" s="218" t="s">
        <v>662</v>
      </c>
      <c r="U28" s="218">
        <v>1</v>
      </c>
      <c r="V28" s="218">
        <v>1</v>
      </c>
      <c r="W28" s="218" t="s">
        <v>663</v>
      </c>
      <c r="X28" s="207">
        <v>5687.1166833333336</v>
      </c>
      <c r="Y28" s="218" t="s">
        <v>452</v>
      </c>
      <c r="Z28" s="218" t="s">
        <v>452</v>
      </c>
      <c r="AA28" s="218" t="s">
        <v>452</v>
      </c>
      <c r="AB28" s="207">
        <v>6824.5400199999958</v>
      </c>
      <c r="AC28" s="218" t="s">
        <v>664</v>
      </c>
      <c r="AD28" s="207">
        <v>6824.5700200000001</v>
      </c>
      <c r="AE28" s="208"/>
      <c r="AF28" s="370" t="s">
        <v>659</v>
      </c>
      <c r="AG28" s="371"/>
      <c r="AH28" s="371"/>
      <c r="AI28" s="371"/>
      <c r="AJ28" s="371"/>
      <c r="AK28" s="372"/>
      <c r="AL28" s="222" t="s">
        <v>665</v>
      </c>
      <c r="AM28" s="171" t="s">
        <v>666</v>
      </c>
      <c r="AN28" s="223">
        <v>44181</v>
      </c>
      <c r="AO28" s="218" t="s">
        <v>667</v>
      </c>
      <c r="AP28" s="210">
        <v>44186</v>
      </c>
      <c r="AQ28" s="210">
        <v>44186</v>
      </c>
      <c r="AR28" s="210">
        <v>44186</v>
      </c>
      <c r="AS28" s="210">
        <v>44186</v>
      </c>
      <c r="AT28" s="210">
        <v>44681</v>
      </c>
      <c r="AU28" s="209"/>
      <c r="AV28" s="221" t="s">
        <v>668</v>
      </c>
    </row>
    <row r="41" spans="1:1" x14ac:dyDescent="0.25">
      <c r="A41" s="60" t="s">
        <v>437</v>
      </c>
    </row>
  </sheetData>
  <mergeCells count="82">
    <mergeCell ref="L25:L28"/>
    <mergeCell ref="O25:O28"/>
    <mergeCell ref="AL26:AO26"/>
    <mergeCell ref="AF27:AK27"/>
    <mergeCell ref="AF28:AK28"/>
    <mergeCell ref="G25:G28"/>
    <mergeCell ref="H25:H28"/>
    <mergeCell ref="I25:I28"/>
    <mergeCell ref="J25:J28"/>
    <mergeCell ref="K25:K28"/>
    <mergeCell ref="B25:B28"/>
    <mergeCell ref="C25:C28"/>
    <mergeCell ref="D25:D28"/>
    <mergeCell ref="E25:E28"/>
    <mergeCell ref="F25:F28"/>
    <mergeCell ref="AV21:AV23"/>
    <mergeCell ref="AP21:AQ21"/>
    <mergeCell ref="Y21:Y23"/>
    <mergeCell ref="AF21:AK21"/>
    <mergeCell ref="AF22:AG22"/>
    <mergeCell ref="AT21:AT23"/>
    <mergeCell ref="AU21:AU23"/>
    <mergeCell ref="AL21:AO21"/>
    <mergeCell ref="AR21:AR23"/>
    <mergeCell ref="AQ22:AQ23"/>
    <mergeCell ref="AA21:AA23"/>
    <mergeCell ref="AB21:AB23"/>
    <mergeCell ref="AS21:AS23"/>
    <mergeCell ref="AN22:AN23"/>
    <mergeCell ref="AH22:AI22"/>
    <mergeCell ref="AC21:AC23"/>
    <mergeCell ref="A19:AV19"/>
    <mergeCell ref="A20:AV20"/>
    <mergeCell ref="AD21:AD23"/>
    <mergeCell ref="AE21:AE23"/>
    <mergeCell ref="S21:T21"/>
    <mergeCell ref="AJ22:AJ23"/>
    <mergeCell ref="A21:A23"/>
    <mergeCell ref="AK22:AK23"/>
    <mergeCell ref="E22:E23"/>
    <mergeCell ref="F22:F23"/>
    <mergeCell ref="G22:G23"/>
    <mergeCell ref="H22:H23"/>
    <mergeCell ref="I22:I23"/>
    <mergeCell ref="J22:J23"/>
    <mergeCell ref="AM22:AM23"/>
    <mergeCell ref="AO22:AO23"/>
    <mergeCell ref="C21:C23"/>
    <mergeCell ref="T10:AD10"/>
    <mergeCell ref="B21:B23"/>
    <mergeCell ref="T12:AD12"/>
    <mergeCell ref="T13:AD13"/>
    <mergeCell ref="E21:L21"/>
    <mergeCell ref="M21:M23"/>
    <mergeCell ref="Z21:Z23"/>
    <mergeCell ref="N21:N23"/>
    <mergeCell ref="D21:D23"/>
    <mergeCell ref="T11:AD11"/>
    <mergeCell ref="R21:R23"/>
    <mergeCell ref="T14:AD14"/>
    <mergeCell ref="T15:AD15"/>
    <mergeCell ref="T16:AD16"/>
    <mergeCell ref="T18:AD18"/>
    <mergeCell ref="O17:AK17"/>
    <mergeCell ref="A5:AV5"/>
    <mergeCell ref="D6:I6"/>
    <mergeCell ref="T7:AD7"/>
    <mergeCell ref="T8:AD8"/>
    <mergeCell ref="T9:AD9"/>
    <mergeCell ref="K22:K23"/>
    <mergeCell ref="Q21:Q23"/>
    <mergeCell ref="T22:T23"/>
    <mergeCell ref="S22:S23"/>
    <mergeCell ref="O21:O23"/>
    <mergeCell ref="L22:L23"/>
    <mergeCell ref="P21:P23"/>
    <mergeCell ref="U21:U23"/>
    <mergeCell ref="V21:V23"/>
    <mergeCell ref="W21:W23"/>
    <mergeCell ref="AP22:AP23"/>
    <mergeCell ref="AL22:AL23"/>
    <mergeCell ref="X21:X23"/>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46" zoomScale="70" zoomScaleNormal="90" zoomScaleSheetLayoutView="70" workbookViewId="0">
      <selection activeCell="B55" sqref="B55:B5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4"/>
    </row>
    <row r="5" spans="1:8" ht="18.75" x14ac:dyDescent="0.3">
      <c r="A5" s="375" t="str">
        <f>'1. паспорт местоположение'!$A$5</f>
        <v>Год раскрытия информации: 2025 год</v>
      </c>
      <c r="B5" s="375"/>
      <c r="C5" s="3"/>
      <c r="D5" s="3"/>
      <c r="E5" s="3"/>
      <c r="F5" s="3"/>
      <c r="G5" s="3"/>
      <c r="H5" s="3"/>
    </row>
    <row r="6" spans="1:8" ht="18.75" x14ac:dyDescent="0.3">
      <c r="A6" s="10"/>
      <c r="B6" s="10"/>
      <c r="C6" s="10"/>
      <c r="D6" s="10"/>
      <c r="E6" s="10"/>
      <c r="F6" s="10"/>
      <c r="G6" s="10"/>
      <c r="H6" s="10"/>
    </row>
    <row r="7" spans="1:8" ht="18.75" x14ac:dyDescent="0.25">
      <c r="A7" s="243" t="s">
        <v>5</v>
      </c>
      <c r="B7" s="243"/>
      <c r="C7" s="17"/>
      <c r="D7" s="17"/>
      <c r="E7" s="17"/>
      <c r="F7" s="17"/>
      <c r="G7" s="17"/>
      <c r="H7" s="17"/>
    </row>
    <row r="8" spans="1:8" ht="18.75" x14ac:dyDescent="0.25">
      <c r="A8" s="17"/>
      <c r="B8" s="17"/>
      <c r="C8" s="17"/>
      <c r="D8" s="17"/>
      <c r="E8" s="17"/>
      <c r="F8" s="17"/>
      <c r="G8" s="17"/>
      <c r="H8" s="17"/>
    </row>
    <row r="9" spans="1:8" x14ac:dyDescent="0.25">
      <c r="A9" s="244" t="s">
        <v>264</v>
      </c>
      <c r="B9" s="244"/>
      <c r="C9" s="18"/>
      <c r="D9" s="18"/>
      <c r="E9" s="18"/>
      <c r="F9" s="18"/>
      <c r="G9" s="18"/>
      <c r="H9" s="18"/>
    </row>
    <row r="10" spans="1:8" x14ac:dyDescent="0.25">
      <c r="A10" s="249" t="s">
        <v>4</v>
      </c>
      <c r="B10" s="249"/>
      <c r="C10" s="15"/>
      <c r="D10" s="15"/>
      <c r="E10" s="15"/>
      <c r="F10" s="15"/>
      <c r="G10" s="15"/>
      <c r="H10" s="15"/>
    </row>
    <row r="11" spans="1:8" ht="18.75" x14ac:dyDescent="0.25">
      <c r="A11" s="17"/>
      <c r="B11" s="17"/>
      <c r="C11" s="17"/>
      <c r="D11" s="17"/>
      <c r="E11" s="17"/>
      <c r="F11" s="17"/>
      <c r="G11" s="17"/>
      <c r="H11" s="17"/>
    </row>
    <row r="12" spans="1:8" ht="30.75" customHeight="1" x14ac:dyDescent="0.25">
      <c r="A12" s="244" t="str">
        <f>'1. паспорт местоположение'!$A$12</f>
        <v>L_Che367</v>
      </c>
      <c r="B12" s="244"/>
      <c r="C12" s="18"/>
      <c r="D12" s="18"/>
      <c r="E12" s="18"/>
      <c r="F12" s="18"/>
      <c r="G12" s="18"/>
      <c r="H12" s="18"/>
    </row>
    <row r="13" spans="1:8" x14ac:dyDescent="0.25">
      <c r="A13" s="249" t="s">
        <v>3</v>
      </c>
      <c r="B13" s="249"/>
      <c r="C13" s="15"/>
      <c r="D13" s="15"/>
      <c r="E13" s="15"/>
      <c r="F13" s="15"/>
      <c r="G13" s="15"/>
      <c r="H13" s="15"/>
    </row>
    <row r="14" spans="1:8" ht="18.75" x14ac:dyDescent="0.25">
      <c r="A14" s="2"/>
      <c r="B14" s="2"/>
      <c r="C14" s="2"/>
      <c r="D14" s="2"/>
      <c r="E14" s="2"/>
      <c r="F14" s="2"/>
      <c r="G14" s="2"/>
      <c r="H14" s="2"/>
    </row>
    <row r="15" spans="1:8" ht="35.25" customHeight="1" x14ac:dyDescent="0.25">
      <c r="A15" s="250"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50"/>
      <c r="C15" s="18"/>
      <c r="D15" s="18"/>
      <c r="E15" s="18"/>
      <c r="F15" s="18"/>
      <c r="G15" s="18"/>
      <c r="H15" s="18"/>
    </row>
    <row r="16" spans="1:8" x14ac:dyDescent="0.25">
      <c r="A16" s="249" t="s">
        <v>2</v>
      </c>
      <c r="B16" s="249"/>
      <c r="C16" s="15"/>
      <c r="D16" s="15"/>
      <c r="E16" s="15"/>
      <c r="F16" s="15"/>
      <c r="G16" s="15"/>
      <c r="H16" s="15"/>
    </row>
    <row r="17" spans="1:2" x14ac:dyDescent="0.25">
      <c r="B17" s="85"/>
    </row>
    <row r="18" spans="1:2" ht="33.75" customHeight="1" x14ac:dyDescent="0.25">
      <c r="A18" s="373" t="s">
        <v>256</v>
      </c>
      <c r="B18" s="374"/>
    </row>
    <row r="19" spans="1:2" x14ac:dyDescent="0.25">
      <c r="B19" s="84"/>
    </row>
    <row r="20" spans="1:2" x14ac:dyDescent="0.25">
      <c r="B20" s="86"/>
    </row>
    <row r="21" spans="1:2" ht="75" x14ac:dyDescent="0.25">
      <c r="A21" s="152" t="s">
        <v>148</v>
      </c>
      <c r="B21" s="87"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row>
    <row r="22" spans="1:2" x14ac:dyDescent="0.25">
      <c r="A22" s="153" t="s">
        <v>149</v>
      </c>
      <c r="B22" s="87" t="str">
        <f>'1. паспорт местоположение'!C27</f>
        <v>Ачхой-Мартановский район</v>
      </c>
    </row>
    <row r="23" spans="1:2" x14ac:dyDescent="0.25">
      <c r="A23" s="153" t="s">
        <v>145</v>
      </c>
      <c r="B23" s="87" t="str">
        <f>'1. паспорт местоположение'!C22</f>
        <v>Прочее новое строительство объектов электросетевого хозяйства</v>
      </c>
    </row>
    <row r="24" spans="1:2" x14ac:dyDescent="0.25">
      <c r="A24" s="153" t="s">
        <v>150</v>
      </c>
      <c r="B24" s="88" t="s">
        <v>641</v>
      </c>
    </row>
    <row r="25" spans="1:2" x14ac:dyDescent="0.25">
      <c r="A25" s="154" t="s">
        <v>151</v>
      </c>
      <c r="B25" s="225">
        <f>VLOOKUP($A$12,'[1]6.2. отчет'!$D:$OM,400,0)</f>
        <v>2024</v>
      </c>
    </row>
    <row r="26" spans="1:2" x14ac:dyDescent="0.25">
      <c r="A26" s="154" t="s">
        <v>152</v>
      </c>
      <c r="B26" s="87" t="s">
        <v>642</v>
      </c>
    </row>
    <row r="27" spans="1:2" ht="28.5" x14ac:dyDescent="0.25">
      <c r="A27" s="155" t="s">
        <v>449</v>
      </c>
      <c r="B27" s="89">
        <f>'6.2. Паспорт фин осв ввод'!C24</f>
        <v>125.10096569299998</v>
      </c>
    </row>
    <row r="28" spans="1:2" x14ac:dyDescent="0.25">
      <c r="A28" s="156" t="s">
        <v>153</v>
      </c>
      <c r="B28" s="156" t="s">
        <v>458</v>
      </c>
    </row>
    <row r="29" spans="1:2" ht="28.5" x14ac:dyDescent="0.25">
      <c r="A29" s="155" t="s">
        <v>154</v>
      </c>
      <c r="B29" s="169">
        <f>B30</f>
        <v>121.12122943600001</v>
      </c>
    </row>
    <row r="30" spans="1:2" ht="28.5" x14ac:dyDescent="0.25">
      <c r="A30" s="155" t="s">
        <v>155</v>
      </c>
      <c r="B30" s="170">
        <f>B36+B46+B51+B55</f>
        <v>121.12122943600001</v>
      </c>
    </row>
    <row r="31" spans="1:2" x14ac:dyDescent="0.25">
      <c r="A31" s="156" t="s">
        <v>156</v>
      </c>
      <c r="B31" s="156"/>
    </row>
    <row r="32" spans="1:2" ht="42.75" x14ac:dyDescent="0.25">
      <c r="A32" s="155" t="s">
        <v>157</v>
      </c>
      <c r="B32" s="215" t="s">
        <v>672</v>
      </c>
    </row>
    <row r="33" spans="1:2" x14ac:dyDescent="0.25">
      <c r="A33" s="156" t="s">
        <v>479</v>
      </c>
      <c r="B33" s="165">
        <f>'7. Паспорт отчет о закупке'!AD26/1000</f>
        <v>702.22947599999998</v>
      </c>
    </row>
    <row r="34" spans="1:2" x14ac:dyDescent="0.25">
      <c r="A34" s="156" t="s">
        <v>159</v>
      </c>
      <c r="B34" s="168">
        <f>114.57/B27</f>
        <v>0.91582026857535881</v>
      </c>
    </row>
    <row r="35" spans="1:2" x14ac:dyDescent="0.25">
      <c r="A35" s="156" t="s">
        <v>160</v>
      </c>
      <c r="B35" s="165">
        <f>103.3007557+5.43688188</f>
        <v>108.73763758</v>
      </c>
    </row>
    <row r="36" spans="1:2" x14ac:dyDescent="0.25">
      <c r="A36" s="156" t="s">
        <v>161</v>
      </c>
      <c r="B36" s="165">
        <v>108.737637576</v>
      </c>
    </row>
    <row r="37" spans="1:2" ht="28.5" x14ac:dyDescent="0.25">
      <c r="A37" s="155" t="s">
        <v>162</v>
      </c>
      <c r="B37" s="156" t="s">
        <v>294</v>
      </c>
    </row>
    <row r="38" spans="1:2" x14ac:dyDescent="0.25">
      <c r="A38" s="156" t="s">
        <v>158</v>
      </c>
      <c r="B38" s="156" t="s">
        <v>294</v>
      </c>
    </row>
    <row r="39" spans="1:2" x14ac:dyDescent="0.25">
      <c r="A39" s="156" t="s">
        <v>159</v>
      </c>
      <c r="B39" s="156" t="s">
        <v>294</v>
      </c>
    </row>
    <row r="40" spans="1:2" x14ac:dyDescent="0.25">
      <c r="A40" s="156" t="s">
        <v>160</v>
      </c>
      <c r="B40" s="156" t="s">
        <v>294</v>
      </c>
    </row>
    <row r="41" spans="1:2" x14ac:dyDescent="0.25">
      <c r="A41" s="156" t="s">
        <v>161</v>
      </c>
      <c r="B41" s="156" t="s">
        <v>294</v>
      </c>
    </row>
    <row r="42" spans="1:2" ht="30" x14ac:dyDescent="0.25">
      <c r="A42" s="155" t="s">
        <v>163</v>
      </c>
      <c r="B42" s="167" t="s">
        <v>625</v>
      </c>
    </row>
    <row r="43" spans="1:2" x14ac:dyDescent="0.25">
      <c r="A43" s="156" t="s">
        <v>459</v>
      </c>
      <c r="B43" s="89">
        <f>'7. Паспорт отчет о закупке'!AD25/1000</f>
        <v>143.93950169999999</v>
      </c>
    </row>
    <row r="44" spans="1:2" x14ac:dyDescent="0.25">
      <c r="A44" s="156" t="s">
        <v>159</v>
      </c>
      <c r="B44" s="160">
        <f>9.7/B27</f>
        <v>7.7537371084760234E-2</v>
      </c>
    </row>
    <row r="45" spans="1:2" x14ac:dyDescent="0.25">
      <c r="A45" s="156" t="s">
        <v>160</v>
      </c>
      <c r="B45" s="89">
        <v>9.6958400000000005</v>
      </c>
    </row>
    <row r="46" spans="1:2" x14ac:dyDescent="0.25">
      <c r="A46" s="156" t="s">
        <v>161</v>
      </c>
      <c r="B46" s="165">
        <v>9.6958400000000005</v>
      </c>
    </row>
    <row r="47" spans="1:2" ht="28.5" x14ac:dyDescent="0.25">
      <c r="A47" s="167" t="s">
        <v>163</v>
      </c>
      <c r="B47" s="212" t="s">
        <v>670</v>
      </c>
    </row>
    <row r="48" spans="1:2" x14ac:dyDescent="0.25">
      <c r="A48" s="156" t="s">
        <v>647</v>
      </c>
      <c r="B48" s="169">
        <f>'7. Паспорт отчет о закупке'!AD27/1000</f>
        <v>52.484580020000003</v>
      </c>
    </row>
    <row r="49" spans="1:2" x14ac:dyDescent="0.25">
      <c r="A49" s="156" t="s">
        <v>159</v>
      </c>
      <c r="B49" s="213">
        <v>6.5633838705394132E-2</v>
      </c>
    </row>
    <row r="50" spans="1:2" x14ac:dyDescent="0.25">
      <c r="A50" s="156" t="s">
        <v>160</v>
      </c>
      <c r="B50" s="165">
        <v>2.4357231000000001</v>
      </c>
    </row>
    <row r="51" spans="1:2" x14ac:dyDescent="0.25">
      <c r="A51" s="156" t="s">
        <v>161</v>
      </c>
      <c r="B51" s="165">
        <v>2.4357231000000001</v>
      </c>
    </row>
    <row r="52" spans="1:2" ht="28.5" x14ac:dyDescent="0.25">
      <c r="A52" s="167" t="s">
        <v>163</v>
      </c>
      <c r="B52" s="212" t="s">
        <v>671</v>
      </c>
    </row>
    <row r="53" spans="1:2" x14ac:dyDescent="0.25">
      <c r="A53" s="156" t="s">
        <v>648</v>
      </c>
      <c r="B53" s="165">
        <f>'7. Паспорт отчет о закупке'!AD28/1000</f>
        <v>6.8245700200000003</v>
      </c>
    </row>
    <row r="54" spans="1:2" x14ac:dyDescent="0.25">
      <c r="A54" s="156" t="s">
        <v>159</v>
      </c>
      <c r="B54" s="214">
        <v>2.5335942929995731E-3</v>
      </c>
    </row>
    <row r="55" spans="1:2" x14ac:dyDescent="0.25">
      <c r="A55" s="156" t="s">
        <v>160</v>
      </c>
      <c r="B55" s="165">
        <v>0.25202875999999996</v>
      </c>
    </row>
    <row r="56" spans="1:2" x14ac:dyDescent="0.25">
      <c r="A56" s="156" t="s">
        <v>161</v>
      </c>
      <c r="B56" s="165">
        <v>0.25202876000000002</v>
      </c>
    </row>
    <row r="57" spans="1:2" x14ac:dyDescent="0.25">
      <c r="A57" s="166" t="s">
        <v>649</v>
      </c>
      <c r="B57" s="165">
        <f>B58+B59+B60</f>
        <v>3.97973818</v>
      </c>
    </row>
    <row r="58" spans="1:2" x14ac:dyDescent="0.25">
      <c r="A58" s="166" t="s">
        <v>650</v>
      </c>
      <c r="B58" s="165">
        <f>0.592682+1.38306666+2.00398952</f>
        <v>3.97973818</v>
      </c>
    </row>
    <row r="59" spans="1:2" x14ac:dyDescent="0.25">
      <c r="A59" s="166" t="s">
        <v>651</v>
      </c>
      <c r="B59" s="165">
        <v>0</v>
      </c>
    </row>
    <row r="60" spans="1:2" x14ac:dyDescent="0.25">
      <c r="A60" s="166" t="s">
        <v>79</v>
      </c>
      <c r="B60" s="165">
        <v>0</v>
      </c>
    </row>
    <row r="61" spans="1:2" ht="28.5" x14ac:dyDescent="0.25">
      <c r="A61" s="154" t="s">
        <v>164</v>
      </c>
      <c r="B61" s="90">
        <f>B65+B63</f>
        <v>0.99335763966011903</v>
      </c>
    </row>
    <row r="62" spans="1:2" x14ac:dyDescent="0.25">
      <c r="A62" s="91" t="s">
        <v>156</v>
      </c>
      <c r="B62" s="156" t="s">
        <v>294</v>
      </c>
    </row>
    <row r="63" spans="1:2" x14ac:dyDescent="0.25">
      <c r="A63" s="91" t="s">
        <v>165</v>
      </c>
      <c r="B63" s="90">
        <f>B34</f>
        <v>0.91582026857535881</v>
      </c>
    </row>
    <row r="64" spans="1:2" x14ac:dyDescent="0.25">
      <c r="A64" s="91" t="s">
        <v>166</v>
      </c>
      <c r="B64" s="156" t="s">
        <v>294</v>
      </c>
    </row>
    <row r="65" spans="1:4" x14ac:dyDescent="0.25">
      <c r="A65" s="91" t="s">
        <v>167</v>
      </c>
      <c r="B65" s="90">
        <f>B44</f>
        <v>7.7537371084760234E-2</v>
      </c>
    </row>
    <row r="66" spans="1:4" x14ac:dyDescent="0.25">
      <c r="A66" s="154" t="s">
        <v>168</v>
      </c>
      <c r="B66" s="90">
        <f>B67/$B$27</f>
        <v>1</v>
      </c>
    </row>
    <row r="67" spans="1:4" x14ac:dyDescent="0.25">
      <c r="A67" s="154" t="s">
        <v>169</v>
      </c>
      <c r="B67" s="89">
        <f>'6.2. Паспорт фин осв ввод'!$D$24</f>
        <v>125.10096569299998</v>
      </c>
      <c r="C67" s="162">
        <f>B45+B35+B50+B55+B57</f>
        <v>125.10096762000001</v>
      </c>
      <c r="D67" s="162">
        <f>B67-C67</f>
        <v>-1.9270000279902888E-6</v>
      </c>
    </row>
    <row r="68" spans="1:4" x14ac:dyDescent="0.25">
      <c r="A68" s="154" t="s">
        <v>170</v>
      </c>
      <c r="B68" s="90">
        <f>$B69/'6.2. Паспорт фин осв ввод'!$D$30</f>
        <v>1</v>
      </c>
      <c r="D68" s="161"/>
    </row>
    <row r="69" spans="1:4" x14ac:dyDescent="0.25">
      <c r="A69" s="154" t="s">
        <v>171</v>
      </c>
      <c r="B69" s="89">
        <f>'6.2. Паспорт фин осв ввод'!$D$30</f>
        <v>104.91409444</v>
      </c>
      <c r="C69" s="5">
        <f>(B36+B46+B51+B56)/1.2+B57</f>
        <v>104.91409604333334</v>
      </c>
      <c r="D69" s="162">
        <f>B69-C69</f>
        <v>-1.6033333452014631E-6</v>
      </c>
    </row>
    <row r="70" spans="1:4" ht="15.75" customHeight="1" x14ac:dyDescent="0.25">
      <c r="A70" s="154" t="s">
        <v>172</v>
      </c>
      <c r="B70" s="91"/>
      <c r="D70" s="161"/>
    </row>
    <row r="71" spans="1:4" x14ac:dyDescent="0.25">
      <c r="A71" s="91" t="s">
        <v>173</v>
      </c>
      <c r="B71" s="166" t="s">
        <v>264</v>
      </c>
    </row>
    <row r="72" spans="1:4" x14ac:dyDescent="0.25">
      <c r="A72" s="91" t="s">
        <v>174</v>
      </c>
      <c r="B72" s="167" t="s">
        <v>457</v>
      </c>
    </row>
    <row r="73" spans="1:4" x14ac:dyDescent="0.25">
      <c r="A73" s="91" t="s">
        <v>175</v>
      </c>
      <c r="B73" s="167" t="s">
        <v>658</v>
      </c>
    </row>
    <row r="74" spans="1:4" x14ac:dyDescent="0.25">
      <c r="A74" s="91" t="s">
        <v>176</v>
      </c>
      <c r="B74" s="167" t="s">
        <v>480</v>
      </c>
    </row>
    <row r="75" spans="1:4" x14ac:dyDescent="0.25">
      <c r="A75" s="91" t="s">
        <v>177</v>
      </c>
      <c r="B75" s="156" t="s">
        <v>294</v>
      </c>
    </row>
    <row r="76" spans="1:4" ht="30" x14ac:dyDescent="0.25">
      <c r="A76" s="91" t="s">
        <v>178</v>
      </c>
      <c r="B76" s="156" t="s">
        <v>294</v>
      </c>
    </row>
    <row r="77" spans="1:4" ht="28.5" x14ac:dyDescent="0.25">
      <c r="A77" s="154" t="s">
        <v>179</v>
      </c>
      <c r="B77" s="156" t="s">
        <v>294</v>
      </c>
    </row>
    <row r="78" spans="1:4" x14ac:dyDescent="0.25">
      <c r="A78" s="91" t="s">
        <v>156</v>
      </c>
      <c r="B78" s="156" t="s">
        <v>294</v>
      </c>
    </row>
    <row r="79" spans="1:4" x14ac:dyDescent="0.25">
      <c r="A79" s="91" t="s">
        <v>180</v>
      </c>
      <c r="B79" s="156" t="s">
        <v>294</v>
      </c>
    </row>
    <row r="80" spans="1:4" x14ac:dyDescent="0.25">
      <c r="A80" s="91" t="s">
        <v>181</v>
      </c>
      <c r="B80" s="156" t="s">
        <v>294</v>
      </c>
    </row>
    <row r="81" spans="1:2" x14ac:dyDescent="0.25">
      <c r="A81" s="157" t="s">
        <v>182</v>
      </c>
      <c r="B81" s="156" t="s">
        <v>294</v>
      </c>
    </row>
    <row r="82" spans="1:2" x14ac:dyDescent="0.25">
      <c r="A82" s="154" t="s">
        <v>183</v>
      </c>
      <c r="B82" s="156" t="s">
        <v>294</v>
      </c>
    </row>
    <row r="83" spans="1:2" x14ac:dyDescent="0.25">
      <c r="A83" s="91" t="s">
        <v>184</v>
      </c>
      <c r="B83" s="156" t="s">
        <v>294</v>
      </c>
    </row>
    <row r="84" spans="1:2" x14ac:dyDescent="0.25">
      <c r="A84" s="91" t="s">
        <v>185</v>
      </c>
      <c r="B84" s="156" t="s">
        <v>294</v>
      </c>
    </row>
    <row r="85" spans="1:2" x14ac:dyDescent="0.25">
      <c r="A85" s="91" t="s">
        <v>186</v>
      </c>
      <c r="B85" s="156" t="s">
        <v>294</v>
      </c>
    </row>
    <row r="86" spans="1:2" ht="28.5" x14ac:dyDescent="0.25">
      <c r="A86" s="157" t="s">
        <v>187</v>
      </c>
      <c r="B86" s="91" t="str">
        <f>$B$26</f>
        <v>Строительство</v>
      </c>
    </row>
    <row r="87" spans="1:2" ht="28.5" x14ac:dyDescent="0.25">
      <c r="A87" s="154" t="s">
        <v>188</v>
      </c>
      <c r="B87" s="156" t="s">
        <v>294</v>
      </c>
    </row>
    <row r="88" spans="1:2" x14ac:dyDescent="0.25">
      <c r="A88" s="91" t="s">
        <v>189</v>
      </c>
      <c r="B88" s="156" t="s">
        <v>294</v>
      </c>
    </row>
    <row r="89" spans="1:2" x14ac:dyDescent="0.25">
      <c r="A89" s="91" t="s">
        <v>190</v>
      </c>
      <c r="B89" s="156" t="s">
        <v>294</v>
      </c>
    </row>
    <row r="90" spans="1:2" x14ac:dyDescent="0.25">
      <c r="A90" s="91" t="s">
        <v>191</v>
      </c>
      <c r="B90" s="156" t="s">
        <v>294</v>
      </c>
    </row>
    <row r="91" spans="1:2" x14ac:dyDescent="0.25">
      <c r="A91" s="91" t="s">
        <v>192</v>
      </c>
      <c r="B91" s="156" t="s">
        <v>294</v>
      </c>
    </row>
    <row r="92" spans="1:2" x14ac:dyDescent="0.25">
      <c r="A92" s="158" t="s">
        <v>193</v>
      </c>
      <c r="B92" s="156"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E1" zoomScale="55" zoomScaleSheetLayoutView="55" workbookViewId="0">
      <selection activeCell="E22" sqref="E22:S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57.570312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58" style="117" customWidth="1"/>
    <col min="18" max="18" width="27" style="117" customWidth="1"/>
    <col min="19" max="19" width="43" style="117" customWidth="1"/>
    <col min="20" max="16384" width="9.140625" style="117"/>
  </cols>
  <sheetData>
    <row r="1" spans="1:22" s="75" customFormat="1" ht="18.75" customHeight="1" x14ac:dyDescent="0.2">
      <c r="A1" s="19"/>
      <c r="B1" s="198"/>
      <c r="C1" s="198"/>
      <c r="D1" s="198"/>
      <c r="E1" s="198"/>
      <c r="F1" s="198"/>
      <c r="G1" s="198"/>
      <c r="H1" s="198"/>
      <c r="I1" s="198"/>
      <c r="J1" s="198"/>
      <c r="K1" s="198"/>
      <c r="L1" s="198"/>
      <c r="M1" s="198"/>
      <c r="N1" s="198"/>
      <c r="O1" s="198"/>
      <c r="P1" s="198"/>
      <c r="Q1" s="198"/>
      <c r="R1" s="198"/>
      <c r="S1" s="16" t="s">
        <v>22</v>
      </c>
    </row>
    <row r="2" spans="1:22" s="75" customFormat="1" ht="18.75" customHeight="1" x14ac:dyDescent="0.3">
      <c r="A2" s="19"/>
      <c r="B2" s="198"/>
      <c r="C2" s="198"/>
      <c r="D2" s="198"/>
      <c r="E2" s="198"/>
      <c r="F2" s="198"/>
      <c r="G2" s="198"/>
      <c r="H2" s="198"/>
      <c r="I2" s="198"/>
      <c r="J2" s="198"/>
      <c r="K2" s="198"/>
      <c r="L2" s="198"/>
      <c r="M2" s="198"/>
      <c r="N2" s="198"/>
      <c r="O2" s="198"/>
      <c r="P2" s="198"/>
      <c r="Q2" s="198"/>
      <c r="R2" s="198"/>
      <c r="S2" s="14" t="s">
        <v>6</v>
      </c>
    </row>
    <row r="3" spans="1:22" s="75" customFormat="1" ht="24" customHeight="1" x14ac:dyDescent="0.3">
      <c r="A3" s="198"/>
      <c r="B3" s="198"/>
      <c r="C3" s="198"/>
      <c r="D3" s="198"/>
      <c r="E3" s="198"/>
      <c r="F3" s="198"/>
      <c r="G3" s="198"/>
      <c r="H3" s="198"/>
      <c r="I3" s="198"/>
      <c r="J3" s="198"/>
      <c r="K3" s="198"/>
      <c r="L3" s="198"/>
      <c r="M3" s="198"/>
      <c r="N3" s="198"/>
      <c r="O3" s="198"/>
      <c r="P3" s="198"/>
      <c r="Q3" s="198"/>
      <c r="R3" s="198"/>
      <c r="S3" s="14" t="s">
        <v>21</v>
      </c>
    </row>
    <row r="4" spans="1:22" s="75" customFormat="1" ht="15.75" x14ac:dyDescent="0.2">
      <c r="A4" s="239" t="str">
        <f>'1. паспорт местоположение'!A5</f>
        <v>Год раскрытия информации: 2025 год</v>
      </c>
      <c r="B4" s="239"/>
      <c r="C4" s="239"/>
      <c r="D4" s="239"/>
      <c r="E4" s="239"/>
      <c r="F4" s="239"/>
      <c r="G4" s="239"/>
      <c r="H4" s="239"/>
      <c r="I4" s="239"/>
      <c r="J4" s="239"/>
      <c r="K4" s="239"/>
      <c r="L4" s="239"/>
      <c r="M4" s="239"/>
      <c r="N4" s="239"/>
      <c r="O4" s="239"/>
      <c r="P4" s="239"/>
      <c r="Q4" s="239"/>
      <c r="R4" s="239"/>
      <c r="S4" s="239"/>
    </row>
    <row r="5" spans="1:22" s="75" customFormat="1" ht="15.75" x14ac:dyDescent="0.2">
      <c r="A5" s="199"/>
      <c r="B5" s="198"/>
      <c r="C5" s="198"/>
      <c r="D5" s="198"/>
      <c r="E5" s="198"/>
      <c r="F5" s="198"/>
      <c r="G5" s="198"/>
      <c r="H5" s="198"/>
      <c r="I5" s="198"/>
      <c r="J5" s="198"/>
      <c r="K5" s="198"/>
      <c r="L5" s="198"/>
      <c r="M5" s="198"/>
      <c r="N5" s="198"/>
      <c r="O5" s="198"/>
      <c r="P5" s="198"/>
      <c r="Q5" s="198"/>
      <c r="R5" s="198"/>
      <c r="S5" s="198"/>
    </row>
    <row r="6" spans="1:22" s="75" customFormat="1" ht="18.75" x14ac:dyDescent="0.2">
      <c r="A6" s="243" t="s">
        <v>5</v>
      </c>
      <c r="B6" s="243"/>
      <c r="C6" s="243"/>
      <c r="D6" s="243"/>
      <c r="E6" s="243"/>
      <c r="F6" s="243"/>
      <c r="G6" s="243"/>
      <c r="H6" s="243"/>
      <c r="I6" s="243"/>
      <c r="J6" s="243"/>
      <c r="K6" s="243"/>
      <c r="L6" s="243"/>
      <c r="M6" s="243"/>
      <c r="N6" s="243"/>
      <c r="O6" s="243"/>
      <c r="P6" s="243"/>
      <c r="Q6" s="243"/>
      <c r="R6" s="243"/>
      <c r="S6" s="243"/>
      <c r="T6" s="17"/>
      <c r="U6" s="17"/>
      <c r="V6" s="17"/>
    </row>
    <row r="7" spans="1:22" s="75" customFormat="1" ht="18.75" x14ac:dyDescent="0.2">
      <c r="A7" s="243"/>
      <c r="B7" s="243"/>
      <c r="C7" s="243"/>
      <c r="D7" s="243"/>
      <c r="E7" s="243"/>
      <c r="F7" s="243"/>
      <c r="G7" s="243"/>
      <c r="H7" s="243"/>
      <c r="I7" s="243"/>
      <c r="J7" s="243"/>
      <c r="K7" s="243"/>
      <c r="L7" s="243"/>
      <c r="M7" s="243"/>
      <c r="N7" s="243"/>
      <c r="O7" s="243"/>
      <c r="P7" s="243"/>
      <c r="Q7" s="243"/>
      <c r="R7" s="243"/>
      <c r="S7" s="243"/>
      <c r="T7" s="17"/>
      <c r="U7" s="17"/>
      <c r="V7" s="17"/>
    </row>
    <row r="8" spans="1:22" s="75" customFormat="1" ht="18.75" x14ac:dyDescent="0.2">
      <c r="A8" s="244" t="s">
        <v>264</v>
      </c>
      <c r="B8" s="244"/>
      <c r="C8" s="244"/>
      <c r="D8" s="244"/>
      <c r="E8" s="244"/>
      <c r="F8" s="244"/>
      <c r="G8" s="244"/>
      <c r="H8" s="244"/>
      <c r="I8" s="244"/>
      <c r="J8" s="244"/>
      <c r="K8" s="244"/>
      <c r="L8" s="244"/>
      <c r="M8" s="244"/>
      <c r="N8" s="244"/>
      <c r="O8" s="244"/>
      <c r="P8" s="244"/>
      <c r="Q8" s="244"/>
      <c r="R8" s="244"/>
      <c r="S8" s="244"/>
      <c r="T8" s="17"/>
      <c r="U8" s="17"/>
      <c r="V8" s="17"/>
    </row>
    <row r="9" spans="1:22" s="75" customFormat="1" ht="18.75" x14ac:dyDescent="0.2">
      <c r="A9" s="249" t="s">
        <v>4</v>
      </c>
      <c r="B9" s="249"/>
      <c r="C9" s="249"/>
      <c r="D9" s="249"/>
      <c r="E9" s="249"/>
      <c r="F9" s="249"/>
      <c r="G9" s="249"/>
      <c r="H9" s="249"/>
      <c r="I9" s="249"/>
      <c r="J9" s="249"/>
      <c r="K9" s="249"/>
      <c r="L9" s="249"/>
      <c r="M9" s="249"/>
      <c r="N9" s="249"/>
      <c r="O9" s="249"/>
      <c r="P9" s="249"/>
      <c r="Q9" s="249"/>
      <c r="R9" s="249"/>
      <c r="S9" s="249"/>
      <c r="T9" s="17"/>
      <c r="U9" s="17"/>
      <c r="V9" s="17"/>
    </row>
    <row r="10" spans="1:22" s="75" customFormat="1" ht="18.75" x14ac:dyDescent="0.2">
      <c r="A10" s="243"/>
      <c r="B10" s="243"/>
      <c r="C10" s="243"/>
      <c r="D10" s="243"/>
      <c r="E10" s="243"/>
      <c r="F10" s="243"/>
      <c r="G10" s="243"/>
      <c r="H10" s="243"/>
      <c r="I10" s="243"/>
      <c r="J10" s="243"/>
      <c r="K10" s="243"/>
      <c r="L10" s="243"/>
      <c r="M10" s="243"/>
      <c r="N10" s="243"/>
      <c r="O10" s="243"/>
      <c r="P10" s="243"/>
      <c r="Q10" s="243"/>
      <c r="R10" s="243"/>
      <c r="S10" s="243"/>
      <c r="T10" s="17"/>
      <c r="U10" s="17"/>
      <c r="V10" s="17"/>
    </row>
    <row r="11" spans="1:22" s="75" customFormat="1" ht="18.75" x14ac:dyDescent="0.2">
      <c r="A11" s="244" t="str">
        <f>'1. паспорт местоположение'!A12:C12</f>
        <v>L_Che367</v>
      </c>
      <c r="B11" s="244"/>
      <c r="C11" s="244"/>
      <c r="D11" s="244"/>
      <c r="E11" s="244"/>
      <c r="F11" s="244"/>
      <c r="G11" s="244"/>
      <c r="H11" s="244"/>
      <c r="I11" s="244"/>
      <c r="J11" s="244"/>
      <c r="K11" s="244"/>
      <c r="L11" s="244"/>
      <c r="M11" s="244"/>
      <c r="N11" s="244"/>
      <c r="O11" s="244"/>
      <c r="P11" s="244"/>
      <c r="Q11" s="244"/>
      <c r="R11" s="244"/>
      <c r="S11" s="244"/>
      <c r="T11" s="17"/>
      <c r="U11" s="17"/>
      <c r="V11" s="17"/>
    </row>
    <row r="12" spans="1:22" s="75" customFormat="1" ht="18.75" x14ac:dyDescent="0.2">
      <c r="A12" s="249" t="s">
        <v>3</v>
      </c>
      <c r="B12" s="249"/>
      <c r="C12" s="249"/>
      <c r="D12" s="249"/>
      <c r="E12" s="249"/>
      <c r="F12" s="249"/>
      <c r="G12" s="249"/>
      <c r="H12" s="249"/>
      <c r="I12" s="249"/>
      <c r="J12" s="249"/>
      <c r="K12" s="249"/>
      <c r="L12" s="249"/>
      <c r="M12" s="249"/>
      <c r="N12" s="249"/>
      <c r="O12" s="249"/>
      <c r="P12" s="249"/>
      <c r="Q12" s="249"/>
      <c r="R12" s="249"/>
      <c r="S12" s="249"/>
      <c r="T12" s="17"/>
      <c r="U12" s="17"/>
      <c r="V12" s="17"/>
    </row>
    <row r="13" spans="1:22" s="78" customFormat="1" ht="15.75" customHeight="1" x14ac:dyDescent="0.2">
      <c r="A13" s="251"/>
      <c r="B13" s="251"/>
      <c r="C13" s="251"/>
      <c r="D13" s="251"/>
      <c r="E13" s="251"/>
      <c r="F13" s="251"/>
      <c r="G13" s="251"/>
      <c r="H13" s="251"/>
      <c r="I13" s="251"/>
      <c r="J13" s="251"/>
      <c r="K13" s="251"/>
      <c r="L13" s="251"/>
      <c r="M13" s="251"/>
      <c r="N13" s="251"/>
      <c r="O13" s="251"/>
      <c r="P13" s="251"/>
      <c r="Q13" s="251"/>
      <c r="R13" s="251"/>
      <c r="S13" s="251"/>
      <c r="T13" s="1"/>
      <c r="U13" s="1"/>
      <c r="V13" s="1"/>
    </row>
    <row r="14" spans="1:22" s="25" customFormat="1" ht="15.75" x14ac:dyDescent="0.2">
      <c r="A14" s="244" t="str">
        <f>'1. паспорт местоположение'!A15:C15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4" s="244"/>
      <c r="C14" s="244"/>
      <c r="D14" s="244"/>
      <c r="E14" s="244"/>
      <c r="F14" s="244"/>
      <c r="G14" s="244"/>
      <c r="H14" s="244"/>
      <c r="I14" s="244"/>
      <c r="J14" s="244"/>
      <c r="K14" s="244"/>
      <c r="L14" s="244"/>
      <c r="M14" s="244"/>
      <c r="N14" s="244"/>
      <c r="O14" s="244"/>
      <c r="P14" s="244"/>
      <c r="Q14" s="244"/>
      <c r="R14" s="244"/>
      <c r="S14" s="244"/>
      <c r="T14" s="18"/>
      <c r="U14" s="18"/>
      <c r="V14" s="18"/>
    </row>
    <row r="15" spans="1:22" s="25" customFormat="1" ht="15" customHeight="1" x14ac:dyDescent="0.2">
      <c r="A15" s="249" t="s">
        <v>2</v>
      </c>
      <c r="B15" s="249"/>
      <c r="C15" s="249"/>
      <c r="D15" s="249"/>
      <c r="E15" s="249"/>
      <c r="F15" s="249"/>
      <c r="G15" s="249"/>
      <c r="H15" s="249"/>
      <c r="I15" s="249"/>
      <c r="J15" s="249"/>
      <c r="K15" s="249"/>
      <c r="L15" s="249"/>
      <c r="M15" s="249"/>
      <c r="N15" s="249"/>
      <c r="O15" s="249"/>
      <c r="P15" s="249"/>
      <c r="Q15" s="249"/>
      <c r="R15" s="249"/>
      <c r="S15" s="249"/>
      <c r="T15" s="15"/>
      <c r="U15" s="15"/>
      <c r="V15" s="15"/>
    </row>
    <row r="16" spans="1:22" s="75" customFormat="1" ht="18.75" customHeight="1" x14ac:dyDescent="0.2">
      <c r="A16" s="252"/>
      <c r="B16" s="252"/>
      <c r="C16" s="252"/>
      <c r="D16" s="252"/>
      <c r="E16" s="252"/>
      <c r="F16" s="252"/>
      <c r="G16" s="252"/>
      <c r="H16" s="252"/>
      <c r="I16" s="252"/>
      <c r="J16" s="252"/>
      <c r="K16" s="252"/>
      <c r="L16" s="252"/>
      <c r="M16" s="252"/>
      <c r="N16" s="252"/>
      <c r="O16" s="252"/>
      <c r="P16" s="252"/>
      <c r="Q16" s="252"/>
      <c r="R16" s="252"/>
      <c r="S16" s="252"/>
    </row>
    <row r="17" spans="1:28" s="75" customFormat="1" ht="15.75" customHeight="1" x14ac:dyDescent="0.2">
      <c r="A17" s="253" t="s">
        <v>275</v>
      </c>
      <c r="B17" s="253"/>
      <c r="C17" s="253"/>
      <c r="D17" s="253"/>
      <c r="E17" s="253"/>
      <c r="F17" s="253"/>
      <c r="G17" s="253"/>
      <c r="H17" s="253"/>
      <c r="I17" s="253"/>
      <c r="J17" s="253"/>
      <c r="K17" s="253"/>
      <c r="L17" s="253"/>
      <c r="M17" s="253"/>
      <c r="N17" s="253"/>
      <c r="O17" s="253"/>
      <c r="P17" s="253"/>
      <c r="Q17" s="253"/>
      <c r="R17" s="253"/>
      <c r="S17" s="253"/>
    </row>
    <row r="18" spans="1:28" s="75" customFormat="1" ht="18.75" x14ac:dyDescent="0.2">
      <c r="A18" s="239"/>
      <c r="B18" s="239"/>
      <c r="C18" s="239"/>
      <c r="D18" s="239"/>
      <c r="E18" s="239"/>
      <c r="F18" s="1"/>
      <c r="G18" s="1"/>
      <c r="H18" s="1"/>
      <c r="I18" s="239"/>
      <c r="J18" s="239"/>
      <c r="K18" s="239"/>
      <c r="L18" s="239"/>
      <c r="M18" s="239"/>
      <c r="N18" s="239"/>
      <c r="O18" s="239"/>
      <c r="P18" s="239"/>
      <c r="Q18" s="239"/>
      <c r="R18" s="239"/>
      <c r="S18" s="239"/>
      <c r="T18" s="17"/>
      <c r="U18" s="17"/>
      <c r="V18" s="17"/>
      <c r="W18" s="17"/>
      <c r="X18" s="17"/>
      <c r="Y18" s="17"/>
      <c r="Z18" s="17"/>
      <c r="AA18" s="17"/>
      <c r="AB18" s="17"/>
    </row>
    <row r="19" spans="1:28" s="25" customFormat="1" ht="54" customHeight="1" x14ac:dyDescent="0.2">
      <c r="A19" s="254" t="s">
        <v>1</v>
      </c>
      <c r="B19" s="254" t="s">
        <v>276</v>
      </c>
      <c r="C19" s="255" t="s">
        <v>277</v>
      </c>
      <c r="D19" s="254" t="s">
        <v>278</v>
      </c>
      <c r="E19" s="254" t="s">
        <v>279</v>
      </c>
      <c r="F19" s="254" t="s">
        <v>280</v>
      </c>
      <c r="G19" s="254" t="s">
        <v>281</v>
      </c>
      <c r="H19" s="254" t="s">
        <v>282</v>
      </c>
      <c r="I19" s="254" t="s">
        <v>283</v>
      </c>
      <c r="J19" s="254" t="s">
        <v>284</v>
      </c>
      <c r="K19" s="254" t="s">
        <v>29</v>
      </c>
      <c r="L19" s="254" t="s">
        <v>285</v>
      </c>
      <c r="M19" s="254" t="s">
        <v>286</v>
      </c>
      <c r="N19" s="254" t="s">
        <v>287</v>
      </c>
      <c r="O19" s="254" t="s">
        <v>288</v>
      </c>
      <c r="P19" s="254" t="s">
        <v>289</v>
      </c>
      <c r="Q19" s="254" t="s">
        <v>290</v>
      </c>
      <c r="R19" s="254"/>
      <c r="S19" s="257" t="s">
        <v>291</v>
      </c>
      <c r="T19" s="76"/>
      <c r="U19" s="76"/>
      <c r="V19" s="76"/>
      <c r="W19" s="76"/>
      <c r="X19" s="76"/>
      <c r="Y19" s="76"/>
    </row>
    <row r="20" spans="1:28" s="25" customFormat="1" ht="180.75" customHeight="1" x14ac:dyDescent="0.2">
      <c r="A20" s="254"/>
      <c r="B20" s="254"/>
      <c r="C20" s="256"/>
      <c r="D20" s="254"/>
      <c r="E20" s="254"/>
      <c r="F20" s="254"/>
      <c r="G20" s="254"/>
      <c r="H20" s="254"/>
      <c r="I20" s="254"/>
      <c r="J20" s="254"/>
      <c r="K20" s="254"/>
      <c r="L20" s="254"/>
      <c r="M20" s="254"/>
      <c r="N20" s="254"/>
      <c r="O20" s="254"/>
      <c r="P20" s="254"/>
      <c r="Q20" s="109" t="s">
        <v>292</v>
      </c>
      <c r="R20" s="23" t="s">
        <v>293</v>
      </c>
      <c r="S20" s="257"/>
      <c r="T20" s="1"/>
      <c r="U20" s="1"/>
      <c r="V20" s="1"/>
      <c r="W20" s="1"/>
      <c r="X20" s="1"/>
      <c r="Y20" s="1"/>
      <c r="Z20" s="112"/>
      <c r="AA20" s="112"/>
      <c r="AB20" s="112"/>
    </row>
    <row r="21" spans="1:28" s="25" customFormat="1" ht="18.75" x14ac:dyDescent="0.2">
      <c r="A21" s="109">
        <v>1</v>
      </c>
      <c r="B21" s="134">
        <v>2</v>
      </c>
      <c r="C21" s="109">
        <v>3</v>
      </c>
      <c r="D21" s="134">
        <v>4</v>
      </c>
      <c r="E21" s="109">
        <v>5</v>
      </c>
      <c r="F21" s="134">
        <v>6</v>
      </c>
      <c r="G21" s="109">
        <v>7</v>
      </c>
      <c r="H21" s="134">
        <v>8</v>
      </c>
      <c r="I21" s="109">
        <v>9</v>
      </c>
      <c r="J21" s="134">
        <v>10</v>
      </c>
      <c r="K21" s="109">
        <v>11</v>
      </c>
      <c r="L21" s="134">
        <v>12</v>
      </c>
      <c r="M21" s="109">
        <v>13</v>
      </c>
      <c r="N21" s="134">
        <v>14</v>
      </c>
      <c r="O21" s="109">
        <v>15</v>
      </c>
      <c r="P21" s="134">
        <v>16</v>
      </c>
      <c r="Q21" s="109">
        <v>17</v>
      </c>
      <c r="R21" s="134">
        <v>18</v>
      </c>
      <c r="S21" s="109">
        <v>19</v>
      </c>
      <c r="T21" s="1"/>
      <c r="U21" s="1"/>
      <c r="V21" s="1"/>
      <c r="W21" s="1"/>
      <c r="X21" s="1"/>
      <c r="Y21" s="1"/>
      <c r="Z21" s="112"/>
      <c r="AA21" s="112"/>
      <c r="AB21" s="112"/>
    </row>
    <row r="22" spans="1:28" s="25" customFormat="1" ht="32.25" customHeight="1" x14ac:dyDescent="0.2">
      <c r="A22" s="135">
        <v>1</v>
      </c>
      <c r="B22" s="136" t="s">
        <v>294</v>
      </c>
      <c r="C22" s="136" t="s">
        <v>294</v>
      </c>
      <c r="D22" s="136" t="str">
        <f>IF(B22="нд","нд",IF('3.3 паспорт описание'!C37="Объект введен на основные фонды",'3.3 паспорт описание'!C37,"в работе"))</f>
        <v>нд</v>
      </c>
      <c r="E22" s="136" t="s">
        <v>294</v>
      </c>
      <c r="F22" s="136" t="s">
        <v>294</v>
      </c>
      <c r="G22" s="136" t="s">
        <v>294</v>
      </c>
      <c r="H22" s="136" t="s">
        <v>294</v>
      </c>
      <c r="I22" s="136" t="s">
        <v>294</v>
      </c>
      <c r="J22" s="136" t="s">
        <v>294</v>
      </c>
      <c r="K22" s="136" t="s">
        <v>294</v>
      </c>
      <c r="L22" s="136" t="s">
        <v>294</v>
      </c>
      <c r="M22" s="136" t="s">
        <v>294</v>
      </c>
      <c r="N22" s="136" t="s">
        <v>294</v>
      </c>
      <c r="O22" s="136" t="s">
        <v>294</v>
      </c>
      <c r="P22" s="136" t="s">
        <v>294</v>
      </c>
      <c r="Q22" s="136" t="s">
        <v>294</v>
      </c>
      <c r="R22" s="136" t="s">
        <v>294</v>
      </c>
      <c r="S22" s="136" t="s">
        <v>294</v>
      </c>
      <c r="T22" s="1"/>
      <c r="U22" s="1"/>
      <c r="V22" s="1"/>
      <c r="W22" s="1"/>
      <c r="X22" s="1"/>
      <c r="Y22" s="1"/>
      <c r="Z22" s="112"/>
      <c r="AA22" s="112"/>
      <c r="AB22" s="112"/>
    </row>
    <row r="23" spans="1:28" ht="18.75" x14ac:dyDescent="0.25">
      <c r="A23" s="67" t="s">
        <v>361</v>
      </c>
      <c r="B23" s="67" t="s">
        <v>361</v>
      </c>
      <c r="C23" s="67"/>
      <c r="D23" s="67"/>
      <c r="E23" s="67" t="s">
        <v>361</v>
      </c>
      <c r="F23" s="67" t="s">
        <v>361</v>
      </c>
      <c r="G23" s="67" t="s">
        <v>361</v>
      </c>
      <c r="H23" s="67" t="s">
        <v>361</v>
      </c>
      <c r="I23" s="67"/>
      <c r="J23" s="67"/>
      <c r="K23" s="67"/>
      <c r="L23" s="67"/>
      <c r="M23" s="67" t="s">
        <v>361</v>
      </c>
      <c r="N23" s="67" t="s">
        <v>361</v>
      </c>
      <c r="O23" s="67" t="s">
        <v>361</v>
      </c>
      <c r="P23" s="67" t="s">
        <v>361</v>
      </c>
      <c r="Q23" s="67" t="s">
        <v>361</v>
      </c>
      <c r="R23" s="137"/>
      <c r="S23" s="137"/>
      <c r="T23" s="116"/>
      <c r="U23" s="116"/>
      <c r="V23" s="116"/>
      <c r="W23" s="116"/>
      <c r="X23" s="116"/>
      <c r="Y23" s="116"/>
      <c r="Z23" s="116"/>
      <c r="AA23" s="116"/>
      <c r="AB23" s="116"/>
    </row>
    <row r="24" spans="1:28" ht="15.75" x14ac:dyDescent="0.25">
      <c r="A24" s="138"/>
      <c r="B24" s="136" t="s">
        <v>451</v>
      </c>
      <c r="C24" s="136"/>
      <c r="D24" s="136"/>
      <c r="E24" s="138" t="s">
        <v>452</v>
      </c>
      <c r="F24" s="138" t="s">
        <v>452</v>
      </c>
      <c r="G24" s="138" t="s">
        <v>452</v>
      </c>
      <c r="H24" s="138"/>
      <c r="I24" s="138"/>
      <c r="J24" s="138"/>
      <c r="K24" s="138"/>
      <c r="L24" s="138"/>
      <c r="M24" s="138"/>
      <c r="N24" s="138"/>
      <c r="O24" s="138"/>
      <c r="P24" s="138"/>
      <c r="Q24" s="139"/>
      <c r="R24" s="140"/>
      <c r="S24" s="140"/>
      <c r="T24" s="116"/>
      <c r="U24" s="116"/>
      <c r="V24" s="116"/>
      <c r="W24" s="116"/>
      <c r="X24" s="116"/>
      <c r="Y24" s="116"/>
      <c r="Z24" s="116"/>
      <c r="AA24" s="116"/>
      <c r="AB24" s="116"/>
    </row>
    <row r="25" spans="1:28" x14ac:dyDescent="0.2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row>
    <row r="26" spans="1:28" x14ac:dyDescent="0.25">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row>
    <row r="27" spans="1:28" x14ac:dyDescent="0.25">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row>
    <row r="28" spans="1:28" x14ac:dyDescent="0.25">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row>
    <row r="29" spans="1:28" x14ac:dyDescent="0.25">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row>
    <row r="30" spans="1:28"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row>
    <row r="31" spans="1:28"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row>
    <row r="32" spans="1:28"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row>
    <row r="36" spans="1:28"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row>
    <row r="37" spans="1:28"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row>
    <row r="38" spans="1:28"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row>
    <row r="39" spans="1:28"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row>
    <row r="40" spans="1:28"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row>
    <row r="41" spans="1:28"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row>
    <row r="42" spans="1:28"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row>
    <row r="43" spans="1:28"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row>
    <row r="44" spans="1:28"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row>
    <row r="45" spans="1:28"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c r="AA45" s="116"/>
      <c r="AB45" s="116"/>
    </row>
    <row r="46" spans="1:28"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row>
    <row r="47" spans="1:28"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row>
    <row r="48" spans="1:28"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row>
    <row r="49" spans="1:28"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row>
    <row r="50" spans="1:28"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row>
    <row r="51" spans="1:28"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row>
    <row r="52" spans="1:28"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row>
    <row r="53" spans="1:28"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row>
    <row r="54" spans="1:28"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row>
    <row r="55" spans="1:28"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row>
    <row r="56" spans="1:28"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row>
    <row r="57" spans="1:28"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row>
    <row r="58" spans="1:28"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row>
    <row r="59" spans="1:28"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row>
    <row r="60" spans="1:28"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row>
    <row r="61" spans="1:28"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row>
    <row r="62" spans="1:28"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row>
    <row r="63" spans="1:28"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row>
    <row r="64" spans="1:28"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row>
    <row r="65" spans="1:28"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row>
    <row r="66" spans="1:28"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row>
    <row r="67" spans="1:28"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row>
    <row r="68" spans="1:28"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row>
    <row r="69" spans="1:28"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row>
    <row r="70" spans="1:28"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row>
    <row r="71" spans="1:28"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row>
    <row r="72" spans="1:28"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row>
    <row r="73" spans="1:28"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row>
    <row r="74" spans="1:28"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row>
    <row r="75" spans="1:28"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row>
    <row r="76" spans="1:28"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row>
    <row r="77" spans="1:28"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row>
    <row r="78" spans="1:28"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row>
    <row r="79" spans="1:28"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row>
    <row r="80" spans="1:28"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row>
    <row r="81" spans="1:28"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row>
    <row r="82" spans="1:28"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row>
    <row r="83" spans="1:28"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row>
    <row r="84" spans="1:28"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row>
    <row r="85" spans="1:28"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row>
    <row r="86" spans="1:28"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row>
    <row r="87" spans="1:28"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row>
    <row r="88" spans="1:28"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row>
    <row r="89" spans="1:28"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row>
    <row r="90" spans="1:28"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row>
    <row r="91" spans="1:28"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row>
    <row r="92" spans="1:28"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row>
    <row r="93" spans="1:28"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row>
    <row r="94" spans="1:28"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row>
    <row r="95" spans="1:28"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row>
    <row r="96" spans="1:28"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row>
    <row r="97" spans="1:28"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row>
    <row r="98" spans="1:28"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row>
    <row r="99" spans="1:28"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6"/>
    </row>
    <row r="100" spans="1:28"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row>
    <row r="101" spans="1:28"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row>
    <row r="102" spans="1:28"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row>
    <row r="103" spans="1:28"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6"/>
    </row>
    <row r="104" spans="1:28"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row>
    <row r="105" spans="1:28"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c r="AA105" s="116"/>
      <c r="AB105" s="116"/>
    </row>
    <row r="106" spans="1:28"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row>
    <row r="107" spans="1:28"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c r="AA107" s="116"/>
      <c r="AB107" s="116"/>
    </row>
    <row r="108" spans="1:28"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c r="AA108" s="116"/>
      <c r="AB108" s="116"/>
    </row>
    <row r="109" spans="1:28"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row>
    <row r="110" spans="1:28"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c r="AA110" s="116"/>
      <c r="AB110" s="116"/>
    </row>
    <row r="111" spans="1:28"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c r="AA111" s="116"/>
      <c r="AB111" s="116"/>
    </row>
    <row r="112" spans="1:28"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c r="AA112" s="116"/>
      <c r="AB112" s="116"/>
    </row>
    <row r="113" spans="1:28"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row>
    <row r="114" spans="1:28"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c r="AA114" s="116"/>
      <c r="AB114" s="116"/>
    </row>
    <row r="115" spans="1:28"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row>
    <row r="116" spans="1:28"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c r="AA116" s="116"/>
      <c r="AB116" s="116"/>
    </row>
    <row r="117" spans="1:28"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row>
    <row r="118" spans="1:28"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row>
    <row r="119" spans="1:28"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row>
    <row r="120" spans="1:28"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c r="AA120" s="116"/>
      <c r="AB120" s="116"/>
    </row>
    <row r="121" spans="1:28"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c r="AA121" s="116"/>
      <c r="AB121" s="116"/>
    </row>
    <row r="122" spans="1:28"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row>
    <row r="123" spans="1:28"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c r="AA123" s="116"/>
      <c r="AB123" s="116"/>
    </row>
    <row r="124" spans="1:28"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row>
    <row r="125" spans="1:28"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row>
    <row r="126" spans="1:28"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c r="AA126" s="116"/>
      <c r="AB126" s="116"/>
    </row>
    <row r="127" spans="1:28"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c r="AA127" s="116"/>
      <c r="AB127" s="116"/>
    </row>
    <row r="128" spans="1:28"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c r="AA128" s="116"/>
      <c r="AB128" s="116"/>
    </row>
    <row r="129" spans="1:28"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c r="AA129" s="116"/>
      <c r="AB129" s="116"/>
    </row>
    <row r="130" spans="1:28"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c r="AA130" s="116"/>
      <c r="AB130" s="116"/>
    </row>
    <row r="131" spans="1:28"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6"/>
      <c r="AB131" s="116"/>
    </row>
    <row r="132" spans="1:28"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c r="AA132" s="116"/>
      <c r="AB132" s="116"/>
    </row>
    <row r="133" spans="1:28"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c r="AA133" s="116"/>
      <c r="AB133" s="116"/>
    </row>
    <row r="134" spans="1:28"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c r="AA134" s="116"/>
      <c r="AB134" s="116"/>
    </row>
    <row r="135" spans="1:28"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c r="AA135" s="116"/>
      <c r="AB135" s="116"/>
    </row>
    <row r="136" spans="1:28"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c r="AA136" s="116"/>
      <c r="AB136" s="116"/>
    </row>
    <row r="137" spans="1:28"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c r="AA137" s="116"/>
      <c r="AB137" s="116"/>
    </row>
    <row r="138" spans="1:28"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c r="AA138" s="116"/>
      <c r="AB138" s="116"/>
    </row>
    <row r="139" spans="1:28"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c r="AA139" s="116"/>
      <c r="AB139" s="116"/>
    </row>
    <row r="140" spans="1:28"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c r="AA140" s="116"/>
      <c r="AB140" s="116"/>
    </row>
    <row r="141" spans="1:28"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c r="AA141" s="116"/>
      <c r="AB141" s="116"/>
    </row>
    <row r="142" spans="1:28"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c r="AA142" s="116"/>
      <c r="AB142" s="116"/>
    </row>
    <row r="143" spans="1:28"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c r="AA143" s="116"/>
      <c r="AB143" s="116"/>
    </row>
    <row r="144" spans="1:28"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c r="AA144" s="116"/>
      <c r="AB144" s="116"/>
    </row>
    <row r="145" spans="1:28"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c r="AA145" s="116"/>
      <c r="AB145" s="116"/>
    </row>
    <row r="146" spans="1:28"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row>
    <row r="147" spans="1:28"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c r="AA147" s="116"/>
      <c r="AB147" s="116"/>
    </row>
    <row r="148" spans="1:28"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c r="AA148" s="116"/>
      <c r="AB148" s="116"/>
    </row>
    <row r="149" spans="1:28"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c r="AA149" s="116"/>
      <c r="AB149" s="116"/>
    </row>
    <row r="150" spans="1:28"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c r="AA150" s="116"/>
      <c r="AB150" s="116"/>
    </row>
    <row r="151" spans="1:28"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c r="AA151" s="116"/>
      <c r="AB151" s="116"/>
    </row>
    <row r="152" spans="1:28"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c r="AA152" s="116"/>
      <c r="AB152" s="116"/>
    </row>
    <row r="153" spans="1:28"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c r="AA153" s="116"/>
      <c r="AB153" s="116"/>
    </row>
    <row r="154" spans="1:28"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c r="AA154" s="116"/>
      <c r="AB154" s="116"/>
    </row>
    <row r="155" spans="1:28"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c r="AA155" s="116"/>
      <c r="AB155" s="116"/>
    </row>
    <row r="156" spans="1:28"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c r="AA156" s="116"/>
      <c r="AB156" s="116"/>
    </row>
    <row r="157" spans="1:28"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c r="AA157" s="116"/>
      <c r="AB157" s="116"/>
    </row>
    <row r="158" spans="1:28"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c r="AA158" s="116"/>
      <c r="AB158" s="116"/>
    </row>
    <row r="159" spans="1:28"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c r="AA159" s="116"/>
      <c r="AB159" s="116"/>
    </row>
    <row r="160" spans="1:28"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c r="AA160" s="116"/>
      <c r="AB160" s="116"/>
    </row>
    <row r="161" spans="1:28"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c r="AA161" s="116"/>
      <c r="AB161" s="116"/>
    </row>
    <row r="162" spans="1:28"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c r="AA162" s="116"/>
      <c r="AB162" s="116"/>
    </row>
    <row r="163" spans="1:28"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c r="AA163" s="116"/>
      <c r="AB163" s="116"/>
    </row>
    <row r="164" spans="1:28"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c r="AA164" s="116"/>
      <c r="AB164" s="116"/>
    </row>
    <row r="165" spans="1:28"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c r="AA165" s="116"/>
      <c r="AB165" s="116"/>
    </row>
    <row r="166" spans="1:28"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c r="AA166" s="116"/>
      <c r="AB166" s="116"/>
    </row>
    <row r="167" spans="1:28"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c r="AA167" s="116"/>
      <c r="AB167" s="116"/>
    </row>
    <row r="168" spans="1:28"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c r="AA168" s="116"/>
      <c r="AB168" s="116"/>
    </row>
    <row r="169" spans="1:28"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c r="AA169" s="116"/>
      <c r="AB169" s="116"/>
    </row>
    <row r="170" spans="1:28"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c r="AA170" s="116"/>
      <c r="AB170" s="116"/>
    </row>
    <row r="171" spans="1:28"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c r="AA171" s="116"/>
      <c r="AB171" s="116"/>
    </row>
    <row r="172" spans="1:28"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c r="AA172" s="116"/>
      <c r="AB172" s="116"/>
    </row>
    <row r="173" spans="1:28"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c r="AA173" s="116"/>
      <c r="AB173" s="116"/>
    </row>
    <row r="174" spans="1:28"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c r="AA174" s="116"/>
      <c r="AB174" s="116"/>
    </row>
    <row r="175" spans="1:28"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c r="AA175" s="116"/>
      <c r="AB175" s="116"/>
    </row>
    <row r="176" spans="1:28"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c r="AA176" s="116"/>
      <c r="AB176" s="116"/>
    </row>
    <row r="177" spans="1:28"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c r="AA177" s="116"/>
      <c r="AB177" s="116"/>
    </row>
    <row r="178" spans="1:28"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c r="AA178" s="116"/>
      <c r="AB178" s="116"/>
    </row>
    <row r="179" spans="1:28"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c r="AA179" s="116"/>
      <c r="AB179" s="116"/>
    </row>
    <row r="180" spans="1:28"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c r="AA180" s="116"/>
      <c r="AB180" s="116"/>
    </row>
    <row r="181" spans="1:28"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c r="AA181" s="116"/>
      <c r="AB181" s="116"/>
    </row>
    <row r="182" spans="1:28"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c r="AA182" s="116"/>
      <c r="AB182" s="116"/>
    </row>
    <row r="183" spans="1:28"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c r="AA183" s="116"/>
      <c r="AB183" s="116"/>
    </row>
    <row r="184" spans="1:28"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c r="AA184" s="116"/>
      <c r="AB184" s="116"/>
    </row>
    <row r="185" spans="1:28"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c r="AA185" s="116"/>
      <c r="AB185" s="116"/>
    </row>
    <row r="186" spans="1:28"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c r="AA186" s="116"/>
      <c r="AB186" s="116"/>
    </row>
    <row r="187" spans="1:28"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row>
    <row r="188" spans="1:28"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row>
    <row r="189" spans="1:28"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c r="AA189" s="116"/>
      <c r="AB189" s="116"/>
    </row>
    <row r="190" spans="1:28"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c r="AA190" s="116"/>
      <c r="AB190" s="116"/>
    </row>
    <row r="191" spans="1:28"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c r="AA191" s="116"/>
      <c r="AB191" s="116"/>
    </row>
    <row r="192" spans="1:28"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c r="AA192" s="116"/>
      <c r="AB192" s="116"/>
    </row>
    <row r="193" spans="1:28"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c r="AA193" s="116"/>
      <c r="AB193" s="116"/>
    </row>
    <row r="194" spans="1:28"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c r="AA194" s="116"/>
      <c r="AB194" s="116"/>
    </row>
    <row r="195" spans="1:28"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c r="AA195" s="116"/>
      <c r="AB195" s="116"/>
    </row>
    <row r="196" spans="1:28"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c r="AA196" s="116"/>
      <c r="AB196" s="116"/>
    </row>
    <row r="197" spans="1:28"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c r="AA197" s="116"/>
      <c r="AB197" s="116"/>
    </row>
    <row r="198" spans="1:28"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c r="AA198" s="116"/>
      <c r="AB198" s="116"/>
    </row>
    <row r="199" spans="1:28"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c r="AA199" s="116"/>
      <c r="AB199" s="116"/>
    </row>
    <row r="200" spans="1:28"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c r="AA200" s="116"/>
      <c r="AB200" s="116"/>
    </row>
    <row r="201" spans="1:28"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c r="AA201" s="116"/>
      <c r="AB201" s="116"/>
    </row>
    <row r="202" spans="1:28"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c r="AA202" s="116"/>
      <c r="AB202" s="116"/>
    </row>
    <row r="203" spans="1:28"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c r="AA203" s="116"/>
      <c r="AB203" s="116"/>
    </row>
    <row r="204" spans="1:28"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c r="AA204" s="116"/>
      <c r="AB204" s="116"/>
    </row>
    <row r="205" spans="1:28"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c r="AA205" s="116"/>
      <c r="AB205" s="116"/>
    </row>
    <row r="206" spans="1:28"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c r="AA206" s="116"/>
      <c r="AB206" s="116"/>
    </row>
    <row r="207" spans="1:28"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c r="AA207" s="116"/>
      <c r="AB207" s="116"/>
    </row>
    <row r="208" spans="1:28"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c r="AA208" s="116"/>
      <c r="AB208" s="116"/>
    </row>
    <row r="209" spans="1:28"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c r="AA209" s="116"/>
      <c r="AB209" s="116"/>
    </row>
    <row r="210" spans="1:28"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c r="AA210" s="116"/>
      <c r="AB210" s="116"/>
    </row>
    <row r="211" spans="1:28"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c r="AA211" s="116"/>
      <c r="AB211" s="116"/>
    </row>
    <row r="212" spans="1:28"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c r="AA212" s="116"/>
      <c r="AB212" s="116"/>
    </row>
    <row r="213" spans="1:28"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c r="AA213" s="116"/>
      <c r="AB213" s="116"/>
    </row>
    <row r="214" spans="1:28"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c r="AA214" s="116"/>
      <c r="AB214" s="116"/>
    </row>
    <row r="215" spans="1:28"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c r="AA215" s="116"/>
      <c r="AB215" s="116"/>
    </row>
    <row r="216" spans="1:28"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c r="AA216" s="116"/>
      <c r="AB216" s="116"/>
    </row>
    <row r="217" spans="1:28"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c r="AA217" s="116"/>
      <c r="AB217" s="116"/>
    </row>
    <row r="218" spans="1:28"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c r="AA218" s="116"/>
      <c r="AB218" s="116"/>
    </row>
    <row r="219" spans="1:28"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c r="AA219" s="116"/>
      <c r="AB219" s="116"/>
    </row>
    <row r="220" spans="1:28"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c r="AA220" s="116"/>
      <c r="AB220" s="116"/>
    </row>
    <row r="221" spans="1:28"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c r="AA221" s="116"/>
      <c r="AB221" s="116"/>
    </row>
    <row r="222" spans="1:28"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c r="AA222" s="116"/>
      <c r="AB222" s="116"/>
    </row>
    <row r="223" spans="1:28"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c r="AA223" s="116"/>
      <c r="AB223" s="116"/>
    </row>
    <row r="224" spans="1:28"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c r="AA224" s="116"/>
      <c r="AB224" s="116"/>
    </row>
    <row r="225" spans="1:28"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c r="AA225" s="116"/>
      <c r="AB225" s="116"/>
    </row>
    <row r="226" spans="1:28"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c r="AA226" s="116"/>
      <c r="AB226" s="116"/>
    </row>
    <row r="227" spans="1:28"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c r="AA227" s="116"/>
      <c r="AB227" s="116"/>
    </row>
    <row r="228" spans="1:28"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c r="AA228" s="116"/>
      <c r="AB228" s="116"/>
    </row>
    <row r="229" spans="1:28"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c r="AA229" s="116"/>
      <c r="AB229" s="116"/>
    </row>
    <row r="230" spans="1:28"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c r="AA230" s="116"/>
      <c r="AB230" s="116"/>
    </row>
    <row r="231" spans="1:28"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c r="AA231" s="116"/>
      <c r="AB231" s="116"/>
    </row>
    <row r="232" spans="1:28"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c r="AA232" s="116"/>
      <c r="AB232" s="116"/>
    </row>
    <row r="233" spans="1:28"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c r="AA233" s="116"/>
      <c r="AB233" s="116"/>
    </row>
    <row r="234" spans="1:28"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c r="AA234" s="116"/>
      <c r="AB234" s="116"/>
    </row>
    <row r="235" spans="1:28"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c r="AA235" s="116"/>
      <c r="AB235" s="116"/>
    </row>
    <row r="236" spans="1:28"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c r="AA236" s="116"/>
      <c r="AB236" s="116"/>
    </row>
    <row r="237" spans="1:28"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c r="AA237" s="116"/>
      <c r="AB237" s="116"/>
    </row>
    <row r="238" spans="1:28"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c r="AA238" s="116"/>
      <c r="AB238" s="116"/>
    </row>
    <row r="239" spans="1:28"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c r="AA239" s="116"/>
      <c r="AB239" s="116"/>
    </row>
    <row r="240" spans="1:28"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c r="AA240" s="116"/>
      <c r="AB240" s="116"/>
    </row>
    <row r="241" spans="1:28"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c r="AA241" s="116"/>
      <c r="AB241" s="116"/>
    </row>
    <row r="242" spans="1:28"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c r="AA242" s="116"/>
      <c r="AB242" s="116"/>
    </row>
    <row r="243" spans="1:28"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c r="AA243" s="116"/>
      <c r="AB243" s="116"/>
    </row>
    <row r="244" spans="1:28"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c r="AA244" s="116"/>
      <c r="AB244" s="116"/>
    </row>
    <row r="245" spans="1:28"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c r="AA245" s="116"/>
      <c r="AB245" s="116"/>
    </row>
    <row r="246" spans="1:28"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c r="AA246" s="116"/>
      <c r="AB246" s="116"/>
    </row>
    <row r="247" spans="1:28"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c r="AA247" s="116"/>
      <c r="AB247" s="116"/>
    </row>
    <row r="248" spans="1:28"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c r="AA248" s="116"/>
      <c r="AB248" s="116"/>
    </row>
    <row r="249" spans="1:28"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c r="AA249" s="116"/>
      <c r="AB249" s="116"/>
    </row>
    <row r="250" spans="1:28"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c r="AA250" s="116"/>
      <c r="AB250" s="116"/>
    </row>
    <row r="251" spans="1:28"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c r="AA251" s="116"/>
      <c r="AB251" s="116"/>
    </row>
    <row r="252" spans="1:28"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c r="AA252" s="116"/>
      <c r="AB252" s="116"/>
    </row>
    <row r="253" spans="1:28"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c r="AA253" s="116"/>
      <c r="AB253" s="116"/>
    </row>
    <row r="254" spans="1:28"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c r="AA254" s="116"/>
      <c r="AB254" s="116"/>
    </row>
    <row r="255" spans="1:28"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c r="AA255" s="116"/>
      <c r="AB255" s="116"/>
    </row>
    <row r="256" spans="1:28"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c r="AA256" s="116"/>
      <c r="AB256" s="116"/>
    </row>
    <row r="257" spans="1:28"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c r="AA257" s="116"/>
      <c r="AB257" s="116"/>
    </row>
    <row r="258" spans="1:28"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c r="AA258" s="116"/>
      <c r="AB258" s="116"/>
    </row>
    <row r="259" spans="1:28"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c r="AA259" s="116"/>
      <c r="AB259" s="116"/>
    </row>
    <row r="260" spans="1:28"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c r="AA260" s="116"/>
      <c r="AB260" s="116"/>
    </row>
    <row r="261" spans="1:28"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c r="AA261" s="116"/>
      <c r="AB261" s="116"/>
    </row>
    <row r="262" spans="1:28"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c r="AA262" s="116"/>
      <c r="AB262" s="116"/>
    </row>
    <row r="263" spans="1:28"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c r="AA263" s="116"/>
      <c r="AB263" s="116"/>
    </row>
    <row r="264" spans="1:28"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c r="AA264" s="116"/>
      <c r="AB264" s="116"/>
    </row>
    <row r="265" spans="1:28"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c r="AA265" s="116"/>
      <c r="AB265" s="116"/>
    </row>
    <row r="266" spans="1:28"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c r="AA266" s="116"/>
      <c r="AB266" s="116"/>
    </row>
    <row r="267" spans="1:28"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c r="AA267" s="116"/>
      <c r="AB267" s="116"/>
    </row>
    <row r="268" spans="1:28"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c r="AA268" s="116"/>
      <c r="AB268" s="116"/>
    </row>
    <row r="269" spans="1:28"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c r="AA269" s="116"/>
      <c r="AB269" s="116"/>
    </row>
    <row r="270" spans="1:28"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c r="AA270" s="116"/>
      <c r="AB270" s="116"/>
    </row>
    <row r="271" spans="1:28"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c r="AA271" s="116"/>
      <c r="AB271" s="116"/>
    </row>
    <row r="272" spans="1:28"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c r="AA272" s="116"/>
      <c r="AB272" s="116"/>
    </row>
    <row r="273" spans="1:28"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c r="AA273" s="116"/>
      <c r="AB273" s="116"/>
    </row>
    <row r="274" spans="1:28"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c r="AA274" s="116"/>
      <c r="AB274" s="116"/>
    </row>
    <row r="275" spans="1:28"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c r="AA275" s="116"/>
      <c r="AB275" s="116"/>
    </row>
    <row r="276" spans="1:28"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c r="AA276" s="116"/>
      <c r="AB276" s="116"/>
    </row>
    <row r="277" spans="1:28"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c r="AA277" s="116"/>
      <c r="AB277" s="116"/>
    </row>
    <row r="278" spans="1:28"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c r="AA278" s="116"/>
      <c r="AB278" s="116"/>
    </row>
    <row r="279" spans="1:28"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c r="AA279" s="116"/>
      <c r="AB279" s="116"/>
    </row>
    <row r="280" spans="1:28"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c r="AA280" s="116"/>
      <c r="AB280" s="116"/>
    </row>
    <row r="281" spans="1:28"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c r="AA281" s="116"/>
      <c r="AB281" s="116"/>
    </row>
    <row r="282" spans="1:28"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c r="AA282" s="116"/>
      <c r="AB282" s="116"/>
    </row>
    <row r="283" spans="1:28"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c r="AA283" s="116"/>
      <c r="AB283" s="116"/>
    </row>
    <row r="284" spans="1:28"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c r="AA284" s="116"/>
      <c r="AB284" s="116"/>
    </row>
    <row r="285" spans="1:28"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c r="AA285" s="116"/>
      <c r="AB285" s="116"/>
    </row>
    <row r="286" spans="1:28"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c r="AA286" s="116"/>
      <c r="AB286" s="116"/>
    </row>
    <row r="287" spans="1:28"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c r="AA287" s="116"/>
      <c r="AB287" s="116"/>
    </row>
    <row r="288" spans="1:28"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c r="AA288" s="116"/>
      <c r="AB288" s="116"/>
    </row>
    <row r="289" spans="1:28"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c r="AA289" s="116"/>
      <c r="AB289" s="116"/>
    </row>
    <row r="290" spans="1:28"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c r="AA290" s="116"/>
      <c r="AB290" s="116"/>
    </row>
    <row r="291" spans="1:28"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c r="AA291" s="116"/>
      <c r="AB291" s="116"/>
    </row>
    <row r="292" spans="1:28"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c r="AA292" s="116"/>
      <c r="AB292" s="116"/>
    </row>
    <row r="293" spans="1:28"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c r="AA293" s="116"/>
      <c r="AB293" s="116"/>
    </row>
    <row r="294" spans="1:28"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c r="AA294" s="116"/>
      <c r="AB294" s="116"/>
    </row>
    <row r="295" spans="1:28"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c r="AA295" s="116"/>
      <c r="AB295" s="116"/>
    </row>
    <row r="296" spans="1:28"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c r="AA296" s="116"/>
      <c r="AB296" s="116"/>
    </row>
    <row r="297" spans="1:28"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c r="AA297" s="116"/>
      <c r="AB297" s="116"/>
    </row>
    <row r="298" spans="1:28"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c r="AA298" s="116"/>
      <c r="AB298" s="116"/>
    </row>
    <row r="299" spans="1:28"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c r="AA299" s="116"/>
      <c r="AB299" s="116"/>
    </row>
    <row r="300" spans="1:28"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c r="AA300" s="116"/>
      <c r="AB300" s="116"/>
    </row>
    <row r="301" spans="1:28"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c r="AA301" s="116"/>
      <c r="AB301" s="116"/>
    </row>
    <row r="302" spans="1:28"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c r="AA302" s="116"/>
      <c r="AB302" s="116"/>
    </row>
    <row r="303" spans="1:28"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c r="AA303" s="116"/>
      <c r="AB303" s="116"/>
    </row>
    <row r="304" spans="1:28"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c r="AA304" s="116"/>
      <c r="AB304" s="116"/>
    </row>
    <row r="305" spans="1:28"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c r="AA305" s="116"/>
      <c r="AB305" s="116"/>
    </row>
    <row r="306" spans="1:28"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c r="AA306" s="116"/>
      <c r="AB306" s="116"/>
    </row>
    <row r="307" spans="1:28"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c r="AA307" s="116"/>
      <c r="AB307" s="116"/>
    </row>
    <row r="308" spans="1:28"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c r="AA308" s="116"/>
      <c r="AB308" s="116"/>
    </row>
    <row r="309" spans="1:28"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c r="AA309" s="116"/>
      <c r="AB309" s="116"/>
    </row>
    <row r="310" spans="1:28"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c r="AA310" s="116"/>
      <c r="AB310" s="116"/>
    </row>
    <row r="311" spans="1:28"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c r="AA311" s="116"/>
      <c r="AB311" s="116"/>
    </row>
    <row r="312" spans="1:28"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c r="AA312" s="116"/>
      <c r="AB312" s="116"/>
    </row>
    <row r="313" spans="1:28"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c r="AA313" s="116"/>
      <c r="AB313" s="116"/>
    </row>
    <row r="314" spans="1:28"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c r="AA314" s="116"/>
      <c r="AB314" s="116"/>
    </row>
    <row r="315" spans="1:28"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c r="AA315" s="116"/>
      <c r="AB315" s="116"/>
    </row>
    <row r="316" spans="1:28"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c r="AA316" s="116"/>
      <c r="AB316" s="116"/>
    </row>
    <row r="317" spans="1:28"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c r="AA317" s="116"/>
      <c r="AB317" s="116"/>
    </row>
    <row r="318" spans="1:28"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c r="AA318" s="116"/>
      <c r="AB318" s="116"/>
    </row>
    <row r="319" spans="1:28"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c r="AA319" s="116"/>
      <c r="AB319" s="116"/>
    </row>
    <row r="320" spans="1:28"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c r="AA320" s="116"/>
      <c r="AB320" s="116"/>
    </row>
    <row r="321" spans="1:28"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c r="AA321" s="116"/>
      <c r="AB321" s="116"/>
    </row>
    <row r="322" spans="1:28"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c r="AA322" s="116"/>
      <c r="AB322" s="116"/>
    </row>
    <row r="323" spans="1:28"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c r="AA323" s="116"/>
      <c r="AB323" s="116"/>
    </row>
    <row r="324" spans="1:28"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c r="AA324" s="116"/>
      <c r="AB324" s="116"/>
    </row>
    <row r="325" spans="1:28"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c r="AA325" s="116"/>
      <c r="AB325" s="116"/>
    </row>
    <row r="326" spans="1:28"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c r="AA326" s="116"/>
      <c r="AB326" s="116"/>
    </row>
    <row r="327" spans="1:28"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c r="AA327" s="116"/>
      <c r="AB327" s="116"/>
    </row>
    <row r="328" spans="1:28"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c r="AA328" s="116"/>
      <c r="AB328" s="116"/>
    </row>
    <row r="329" spans="1:28"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c r="AA329" s="116"/>
      <c r="AB329" s="116"/>
    </row>
    <row r="330" spans="1:28"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c r="AA330" s="116"/>
      <c r="AB330" s="116"/>
    </row>
    <row r="331" spans="1:28"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c r="AA331" s="116"/>
      <c r="AB331" s="116"/>
    </row>
    <row r="332" spans="1:28"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c r="AA332" s="116"/>
      <c r="AB332" s="116"/>
    </row>
    <row r="333" spans="1:28"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c r="AA333" s="116"/>
      <c r="AB333" s="116"/>
    </row>
    <row r="334" spans="1:28"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c r="AA334" s="116"/>
      <c r="AB334" s="116"/>
    </row>
    <row r="335" spans="1:28"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c r="AA335" s="116"/>
      <c r="AB335" s="116"/>
    </row>
    <row r="336" spans="1:28"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c r="AA336" s="116"/>
      <c r="AB336" s="116"/>
    </row>
    <row r="337" spans="1:28"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c r="AA337" s="116"/>
      <c r="AB337" s="116"/>
    </row>
    <row r="338" spans="1:28"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c r="AA338" s="116"/>
      <c r="AB338" s="116"/>
    </row>
    <row r="339" spans="1:28"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c r="AA339" s="116"/>
      <c r="AB339" s="116"/>
    </row>
    <row r="340" spans="1:28"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c r="AA340" s="116"/>
      <c r="AB340" s="116"/>
    </row>
    <row r="341" spans="1:28"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c r="AA341" s="116"/>
      <c r="AB341" s="116"/>
    </row>
    <row r="342" spans="1:28"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c r="AA342" s="116"/>
      <c r="AB342" s="116"/>
    </row>
    <row r="343" spans="1:28"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c r="AA343" s="116"/>
      <c r="AB343" s="116"/>
    </row>
    <row r="344" spans="1:28"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c r="AA344" s="116"/>
      <c r="AB344" s="116"/>
    </row>
    <row r="345" spans="1:28"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c r="AA345" s="116"/>
      <c r="AB345" s="116"/>
    </row>
    <row r="346" spans="1:28"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c r="AA346" s="116"/>
      <c r="AB346" s="116"/>
    </row>
    <row r="347" spans="1:28"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c r="AA347" s="116"/>
      <c r="AB347" s="116"/>
    </row>
    <row r="348" spans="1:28"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c r="AA348" s="116"/>
      <c r="AB348" s="116"/>
    </row>
    <row r="349" spans="1:28"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c r="AA349" s="116"/>
      <c r="AB349" s="116"/>
    </row>
    <row r="350" spans="1:28"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c r="AA350" s="116"/>
      <c r="AB350" s="116"/>
    </row>
    <row r="351" spans="1:28"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c r="AA351" s="116"/>
      <c r="AB351" s="116"/>
    </row>
    <row r="352" spans="1:28"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c r="AA352" s="116"/>
      <c r="AB352" s="116"/>
    </row>
    <row r="353" spans="1:28"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c r="AA353" s="116"/>
      <c r="AB353" s="116"/>
    </row>
    <row r="354" spans="1:28"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c r="AA354" s="116"/>
      <c r="AB354" s="116"/>
    </row>
    <row r="355" spans="1:28"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c r="AA355" s="116"/>
      <c r="AB355" s="116"/>
    </row>
    <row r="356" spans="1:28"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c r="AA356" s="116"/>
      <c r="AB356" s="116"/>
    </row>
    <row r="357" spans="1:28"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c r="AA357" s="116"/>
      <c r="AB357" s="116"/>
    </row>
    <row r="358" spans="1:28"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c r="AA358" s="116"/>
      <c r="AB358" s="116"/>
    </row>
    <row r="359" spans="1:28"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c r="AA359" s="116"/>
      <c r="AB359" s="116"/>
    </row>
  </sheetData>
  <mergeCells count="33">
    <mergeCell ref="A10:S10"/>
    <mergeCell ref="A11:S11"/>
    <mergeCell ref="J19:J20"/>
    <mergeCell ref="Q19:R19"/>
    <mergeCell ref="A19:A20"/>
    <mergeCell ref="G19:G20"/>
    <mergeCell ref="I19:I20"/>
    <mergeCell ref="K19:K20"/>
    <mergeCell ref="S19:S20"/>
    <mergeCell ref="L19:L20"/>
    <mergeCell ref="M19:M20"/>
    <mergeCell ref="N19:N20"/>
    <mergeCell ref="O19:O20"/>
    <mergeCell ref="P19:P20"/>
    <mergeCell ref="A18:E18"/>
    <mergeCell ref="I18:S18"/>
    <mergeCell ref="A17:S17"/>
    <mergeCell ref="B19:B20"/>
    <mergeCell ref="F19:F20"/>
    <mergeCell ref="H19:H20"/>
    <mergeCell ref="C19:C20"/>
    <mergeCell ref="E19:E20"/>
    <mergeCell ref="D19:D20"/>
    <mergeCell ref="A4:S4"/>
    <mergeCell ref="A6:S6"/>
    <mergeCell ref="A7:S7"/>
    <mergeCell ref="A8:S8"/>
    <mergeCell ref="A9:S9"/>
    <mergeCell ref="A12:S12"/>
    <mergeCell ref="A13:S13"/>
    <mergeCell ref="A14:S14"/>
    <mergeCell ref="A15:S15"/>
    <mergeCell ref="A16:S16"/>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5"/>
  <sheetViews>
    <sheetView view="pageBreakPreview" topLeftCell="A28" zoomScale="60" zoomScaleNormal="60" workbookViewId="0">
      <selection activeCell="A25" sqref="A25:T58"/>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5" customFormat="1" ht="18.75" customHeight="1" x14ac:dyDescent="0.3">
      <c r="A3" s="19"/>
      <c r="T3" s="14" t="s">
        <v>6</v>
      </c>
    </row>
    <row r="4" spans="1:27" s="75" customFormat="1" ht="18.75" customHeight="1" x14ac:dyDescent="0.3">
      <c r="A4" s="19"/>
      <c r="T4" s="14" t="s">
        <v>21</v>
      </c>
    </row>
    <row r="5" spans="1:27" s="75" customFormat="1" ht="18.75" customHeight="1" x14ac:dyDescent="0.2">
      <c r="A5" s="258"/>
      <c r="B5" s="258"/>
      <c r="C5" s="258"/>
      <c r="D5" s="258"/>
      <c r="E5" s="258"/>
      <c r="F5" s="258"/>
      <c r="G5" s="258"/>
      <c r="H5" s="258"/>
      <c r="I5" s="258"/>
      <c r="J5" s="258"/>
      <c r="K5" s="258"/>
      <c r="L5" s="258"/>
      <c r="M5" s="258"/>
      <c r="N5" s="258"/>
      <c r="O5" s="258"/>
      <c r="P5" s="258"/>
      <c r="Q5" s="258"/>
      <c r="R5" s="258"/>
      <c r="S5" s="258"/>
      <c r="T5" s="258"/>
    </row>
    <row r="6" spans="1:27" s="75" customFormat="1" x14ac:dyDescent="0.2">
      <c r="A6" s="239" t="str">
        <f>'1. паспорт местоположение'!$A$5</f>
        <v>Год раскрытия информации: 2025 год</v>
      </c>
      <c r="B6" s="239"/>
      <c r="C6" s="239"/>
      <c r="D6" s="239"/>
      <c r="E6" s="239"/>
      <c r="F6" s="239"/>
      <c r="G6" s="239"/>
      <c r="H6" s="239"/>
      <c r="I6" s="239"/>
      <c r="J6" s="239"/>
      <c r="K6" s="239"/>
      <c r="L6" s="239"/>
      <c r="M6" s="239"/>
      <c r="N6" s="239"/>
      <c r="O6" s="239"/>
      <c r="P6" s="239"/>
      <c r="Q6" s="239"/>
      <c r="R6" s="239"/>
      <c r="S6" s="239"/>
      <c r="T6" s="239"/>
      <c r="U6" s="73"/>
      <c r="V6" s="73"/>
      <c r="W6" s="73"/>
      <c r="X6" s="73"/>
      <c r="Y6" s="73"/>
      <c r="Z6" s="73"/>
      <c r="AA6" s="73"/>
    </row>
    <row r="7" spans="1:27" s="75" customFormat="1" ht="15.75" customHeight="1" x14ac:dyDescent="0.2">
      <c r="A7" s="258">
        <v>0</v>
      </c>
      <c r="B7" s="258"/>
      <c r="C7" s="258"/>
      <c r="D7" s="258"/>
      <c r="E7" s="258"/>
      <c r="F7" s="258"/>
      <c r="G7" s="258"/>
      <c r="H7" s="258"/>
      <c r="I7" s="258"/>
      <c r="J7" s="258"/>
      <c r="K7" s="258"/>
      <c r="L7" s="258"/>
      <c r="M7" s="258"/>
      <c r="N7" s="258"/>
      <c r="O7" s="258"/>
      <c r="P7" s="258"/>
      <c r="Q7" s="258"/>
      <c r="R7" s="258"/>
      <c r="S7" s="258"/>
      <c r="T7" s="258"/>
    </row>
    <row r="8" spans="1:27" s="75" customFormat="1" ht="18.75" x14ac:dyDescent="0.2">
      <c r="A8" s="243" t="s">
        <v>5</v>
      </c>
      <c r="B8" s="243"/>
      <c r="C8" s="243"/>
      <c r="D8" s="243"/>
      <c r="E8" s="243"/>
      <c r="F8" s="243"/>
      <c r="G8" s="243"/>
      <c r="H8" s="243"/>
      <c r="I8" s="243"/>
      <c r="J8" s="243"/>
      <c r="K8" s="243"/>
      <c r="L8" s="243"/>
      <c r="M8" s="243"/>
      <c r="N8" s="243"/>
      <c r="O8" s="243"/>
      <c r="P8" s="243"/>
      <c r="Q8" s="243"/>
      <c r="R8" s="243"/>
      <c r="S8" s="243"/>
      <c r="T8" s="243"/>
      <c r="U8" s="80"/>
      <c r="V8" s="80"/>
      <c r="W8" s="80"/>
      <c r="X8" s="80"/>
      <c r="Y8" s="80"/>
    </row>
    <row r="9" spans="1:27" s="75" customFormat="1" ht="18.75" x14ac:dyDescent="0.2">
      <c r="A9" s="258">
        <v>0</v>
      </c>
      <c r="B9" s="258"/>
      <c r="C9" s="258"/>
      <c r="D9" s="258"/>
      <c r="E9" s="258"/>
      <c r="F9" s="258"/>
      <c r="G9" s="258"/>
      <c r="H9" s="258"/>
      <c r="I9" s="258"/>
      <c r="J9" s="258"/>
      <c r="K9" s="258"/>
      <c r="L9" s="258"/>
      <c r="M9" s="258"/>
      <c r="N9" s="258"/>
      <c r="O9" s="258"/>
      <c r="P9" s="258"/>
      <c r="Q9" s="258"/>
      <c r="R9" s="258"/>
      <c r="S9" s="258"/>
      <c r="T9" s="258"/>
      <c r="U9" s="17"/>
      <c r="V9" s="17"/>
      <c r="W9" s="17"/>
    </row>
    <row r="10" spans="1:27" s="75" customFormat="1" ht="18.75" customHeight="1" x14ac:dyDescent="0.2">
      <c r="A10" s="244" t="s">
        <v>264</v>
      </c>
      <c r="B10" s="244"/>
      <c r="C10" s="244"/>
      <c r="D10" s="244"/>
      <c r="E10" s="244"/>
      <c r="F10" s="244"/>
      <c r="G10" s="244"/>
      <c r="H10" s="244"/>
      <c r="I10" s="244"/>
      <c r="J10" s="244"/>
      <c r="K10" s="244"/>
      <c r="L10" s="244"/>
      <c r="M10" s="244"/>
      <c r="N10" s="244"/>
      <c r="O10" s="244"/>
      <c r="P10" s="244"/>
      <c r="Q10" s="244"/>
      <c r="R10" s="244"/>
      <c r="S10" s="244"/>
      <c r="T10" s="244"/>
      <c r="U10" s="81"/>
      <c r="V10" s="81"/>
      <c r="W10" s="81"/>
      <c r="X10" s="81"/>
      <c r="Y10" s="81"/>
    </row>
    <row r="11" spans="1:27" s="75" customFormat="1" ht="18.75" customHeight="1" x14ac:dyDescent="0.2">
      <c r="A11" s="249" t="s">
        <v>4</v>
      </c>
      <c r="B11" s="249"/>
      <c r="C11" s="249"/>
      <c r="D11" s="249"/>
      <c r="E11" s="249"/>
      <c r="F11" s="249"/>
      <c r="G11" s="249"/>
      <c r="H11" s="249"/>
      <c r="I11" s="249"/>
      <c r="J11" s="249"/>
      <c r="K11" s="249"/>
      <c r="L11" s="249"/>
      <c r="M11" s="249"/>
      <c r="N11" s="249"/>
      <c r="O11" s="249"/>
      <c r="P11" s="249"/>
      <c r="Q11" s="249"/>
      <c r="R11" s="249"/>
      <c r="S11" s="249"/>
      <c r="T11" s="249"/>
      <c r="U11" s="79"/>
      <c r="V11" s="79"/>
      <c r="W11" s="79"/>
      <c r="X11" s="79"/>
      <c r="Y11" s="79"/>
    </row>
    <row r="12" spans="1:27" s="75" customFormat="1" ht="18.75" x14ac:dyDescent="0.2">
      <c r="A12" s="258">
        <v>0</v>
      </c>
      <c r="B12" s="258"/>
      <c r="C12" s="258"/>
      <c r="D12" s="258"/>
      <c r="E12" s="258"/>
      <c r="F12" s="258"/>
      <c r="G12" s="258"/>
      <c r="H12" s="258"/>
      <c r="I12" s="258"/>
      <c r="J12" s="258"/>
      <c r="K12" s="258"/>
      <c r="L12" s="258"/>
      <c r="M12" s="258"/>
      <c r="N12" s="258"/>
      <c r="O12" s="258"/>
      <c r="P12" s="258"/>
      <c r="Q12" s="258"/>
      <c r="R12" s="258"/>
      <c r="S12" s="258"/>
      <c r="T12" s="258"/>
      <c r="U12" s="17"/>
      <c r="V12" s="17"/>
      <c r="W12" s="17"/>
    </row>
    <row r="13" spans="1:27" s="75" customFormat="1" ht="18.75" customHeight="1" x14ac:dyDescent="0.2">
      <c r="A13" s="244" t="str">
        <f>'1. паспорт местоположение'!$A$12</f>
        <v>L_Che367</v>
      </c>
      <c r="B13" s="244"/>
      <c r="C13" s="244"/>
      <c r="D13" s="244"/>
      <c r="E13" s="244"/>
      <c r="F13" s="244"/>
      <c r="G13" s="244"/>
      <c r="H13" s="244"/>
      <c r="I13" s="244"/>
      <c r="J13" s="244"/>
      <c r="K13" s="244"/>
      <c r="L13" s="244"/>
      <c r="M13" s="244"/>
      <c r="N13" s="244"/>
      <c r="O13" s="244"/>
      <c r="P13" s="244"/>
      <c r="Q13" s="244"/>
      <c r="R13" s="244"/>
      <c r="S13" s="244"/>
      <c r="T13" s="244"/>
      <c r="U13" s="81"/>
      <c r="V13" s="81"/>
      <c r="W13" s="81"/>
      <c r="X13" s="81"/>
      <c r="Y13" s="81"/>
    </row>
    <row r="14" spans="1:27" s="75" customFormat="1" ht="18.75" customHeight="1" x14ac:dyDescent="0.2">
      <c r="A14" s="249" t="s">
        <v>3</v>
      </c>
      <c r="B14" s="249"/>
      <c r="C14" s="249"/>
      <c r="D14" s="249"/>
      <c r="E14" s="249"/>
      <c r="F14" s="249"/>
      <c r="G14" s="249"/>
      <c r="H14" s="249"/>
      <c r="I14" s="249"/>
      <c r="J14" s="249"/>
      <c r="K14" s="249"/>
      <c r="L14" s="249"/>
      <c r="M14" s="249"/>
      <c r="N14" s="249"/>
      <c r="O14" s="249"/>
      <c r="P14" s="249"/>
      <c r="Q14" s="249"/>
      <c r="R14" s="249"/>
      <c r="S14" s="249"/>
      <c r="T14" s="249"/>
      <c r="U14" s="79"/>
      <c r="V14" s="79"/>
      <c r="W14" s="79"/>
      <c r="X14" s="79"/>
      <c r="Y14" s="79"/>
    </row>
    <row r="15" spans="1:27" s="78" customFormat="1" ht="15.75" customHeight="1" x14ac:dyDescent="0.2">
      <c r="A15" s="273">
        <v>0</v>
      </c>
      <c r="B15" s="273"/>
      <c r="C15" s="273"/>
      <c r="D15" s="273"/>
      <c r="E15" s="273"/>
      <c r="F15" s="273"/>
      <c r="G15" s="273"/>
      <c r="H15" s="273"/>
      <c r="I15" s="273"/>
      <c r="J15" s="273"/>
      <c r="K15" s="273"/>
      <c r="L15" s="273"/>
      <c r="M15" s="273"/>
      <c r="N15" s="273"/>
      <c r="O15" s="273"/>
      <c r="P15" s="273"/>
      <c r="Q15" s="273"/>
      <c r="R15" s="273"/>
      <c r="S15" s="273"/>
      <c r="T15" s="273"/>
      <c r="U15" s="1"/>
      <c r="V15" s="1"/>
      <c r="W15" s="1"/>
    </row>
    <row r="16" spans="1:27" s="25" customFormat="1" x14ac:dyDescent="0.2">
      <c r="A16" s="250"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6" s="250"/>
      <c r="C16" s="250"/>
      <c r="D16" s="250"/>
      <c r="E16" s="250"/>
      <c r="F16" s="250"/>
      <c r="G16" s="250"/>
      <c r="H16" s="250"/>
      <c r="I16" s="250"/>
      <c r="J16" s="250"/>
      <c r="K16" s="250"/>
      <c r="L16" s="250"/>
      <c r="M16" s="250"/>
      <c r="N16" s="250"/>
      <c r="O16" s="250"/>
      <c r="P16" s="250"/>
      <c r="Q16" s="250"/>
      <c r="R16" s="250"/>
      <c r="S16" s="250"/>
      <c r="T16" s="250"/>
      <c r="U16" s="81"/>
      <c r="V16" s="81"/>
      <c r="W16" s="81"/>
      <c r="X16" s="81"/>
      <c r="Y16" s="81"/>
    </row>
    <row r="17" spans="1:113" s="25" customFormat="1" ht="15" customHeight="1" x14ac:dyDescent="0.2">
      <c r="A17" s="249" t="s">
        <v>2</v>
      </c>
      <c r="B17" s="249"/>
      <c r="C17" s="249"/>
      <c r="D17" s="249"/>
      <c r="E17" s="249"/>
      <c r="F17" s="249"/>
      <c r="G17" s="249"/>
      <c r="H17" s="249"/>
      <c r="I17" s="249"/>
      <c r="J17" s="249"/>
      <c r="K17" s="249"/>
      <c r="L17" s="249"/>
      <c r="M17" s="249"/>
      <c r="N17" s="249"/>
      <c r="O17" s="249"/>
      <c r="P17" s="249"/>
      <c r="Q17" s="249"/>
      <c r="R17" s="249"/>
      <c r="S17" s="249"/>
      <c r="T17" s="249"/>
      <c r="U17" s="79"/>
      <c r="V17" s="79"/>
      <c r="W17" s="79"/>
      <c r="X17" s="79"/>
      <c r="Y17" s="79"/>
    </row>
    <row r="18" spans="1:113" s="25"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252"/>
    </row>
    <row r="19" spans="1:113" s="25" customFormat="1" ht="15" customHeight="1" x14ac:dyDescent="0.2">
      <c r="A19" s="261" t="s">
        <v>295</v>
      </c>
      <c r="B19" s="261"/>
      <c r="C19" s="261"/>
      <c r="D19" s="261"/>
      <c r="E19" s="261"/>
      <c r="F19" s="261"/>
      <c r="G19" s="261"/>
      <c r="H19" s="261"/>
      <c r="I19" s="261"/>
      <c r="J19" s="261"/>
      <c r="K19" s="261"/>
      <c r="L19" s="261"/>
      <c r="M19" s="261"/>
      <c r="N19" s="261"/>
      <c r="O19" s="261"/>
      <c r="P19" s="261"/>
      <c r="Q19" s="261"/>
      <c r="R19" s="261"/>
      <c r="S19" s="261"/>
      <c r="T19" s="261"/>
    </row>
    <row r="20" spans="1:113" s="26"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1</v>
      </c>
      <c r="B21" s="266" t="s">
        <v>296</v>
      </c>
      <c r="C21" s="267"/>
      <c r="D21" s="270" t="s">
        <v>297</v>
      </c>
      <c r="E21" s="266" t="s">
        <v>298</v>
      </c>
      <c r="F21" s="267"/>
      <c r="G21" s="266" t="s">
        <v>299</v>
      </c>
      <c r="H21" s="267"/>
      <c r="I21" s="266" t="s">
        <v>300</v>
      </c>
      <c r="J21" s="267"/>
      <c r="K21" s="270" t="s">
        <v>301</v>
      </c>
      <c r="L21" s="266" t="s">
        <v>302</v>
      </c>
      <c r="M21" s="267"/>
      <c r="N21" s="266" t="s">
        <v>303</v>
      </c>
      <c r="O21" s="267"/>
      <c r="P21" s="270" t="s">
        <v>304</v>
      </c>
      <c r="Q21" s="259" t="s">
        <v>36</v>
      </c>
      <c r="R21" s="275"/>
      <c r="S21" s="259" t="s">
        <v>35</v>
      </c>
      <c r="T21" s="260"/>
    </row>
    <row r="22" spans="1:113" ht="204.75" customHeight="1" x14ac:dyDescent="0.25">
      <c r="A22" s="264"/>
      <c r="B22" s="268"/>
      <c r="C22" s="269"/>
      <c r="D22" s="271"/>
      <c r="E22" s="268"/>
      <c r="F22" s="269"/>
      <c r="G22" s="268"/>
      <c r="H22" s="269"/>
      <c r="I22" s="268"/>
      <c r="J22" s="269"/>
      <c r="K22" s="272"/>
      <c r="L22" s="268"/>
      <c r="M22" s="269"/>
      <c r="N22" s="268"/>
      <c r="O22" s="269"/>
      <c r="P22" s="272"/>
      <c r="Q22" s="27" t="s">
        <v>34</v>
      </c>
      <c r="R22" s="27" t="s">
        <v>242</v>
      </c>
      <c r="S22" s="27" t="s">
        <v>33</v>
      </c>
      <c r="T22" s="27" t="s">
        <v>32</v>
      </c>
    </row>
    <row r="23" spans="1:113" ht="51.75" customHeight="1" x14ac:dyDescent="0.25">
      <c r="A23" s="265"/>
      <c r="B23" s="27" t="s">
        <v>30</v>
      </c>
      <c r="C23" s="27" t="s">
        <v>31</v>
      </c>
      <c r="D23" s="272"/>
      <c r="E23" s="27" t="s">
        <v>30</v>
      </c>
      <c r="F23" s="27" t="s">
        <v>31</v>
      </c>
      <c r="G23" s="27" t="s">
        <v>30</v>
      </c>
      <c r="H23" s="27" t="s">
        <v>31</v>
      </c>
      <c r="I23" s="27" t="s">
        <v>30</v>
      </c>
      <c r="J23" s="27" t="s">
        <v>31</v>
      </c>
      <c r="K23" s="27" t="s">
        <v>30</v>
      </c>
      <c r="L23" s="27" t="s">
        <v>30</v>
      </c>
      <c r="M23" s="27" t="s">
        <v>31</v>
      </c>
      <c r="N23" s="27" t="s">
        <v>30</v>
      </c>
      <c r="O23" s="27" t="s">
        <v>31</v>
      </c>
      <c r="P23" s="77"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x14ac:dyDescent="0.25">
      <c r="A25" s="28">
        <v>1</v>
      </c>
      <c r="B25" s="185" t="s">
        <v>552</v>
      </c>
      <c r="C25" s="185" t="s">
        <v>552</v>
      </c>
      <c r="D25" s="28" t="s">
        <v>553</v>
      </c>
      <c r="E25" s="28" t="s">
        <v>554</v>
      </c>
      <c r="F25" s="28" t="s">
        <v>555</v>
      </c>
      <c r="G25" s="189" t="s">
        <v>556</v>
      </c>
      <c r="H25" s="189" t="s">
        <v>556</v>
      </c>
      <c r="I25" s="28" t="s">
        <v>294</v>
      </c>
      <c r="J25" s="28" t="s">
        <v>557</v>
      </c>
      <c r="K25" s="28" t="s">
        <v>294</v>
      </c>
      <c r="L25" s="28">
        <v>10</v>
      </c>
      <c r="M25" s="28">
        <v>10</v>
      </c>
      <c r="N25" s="190">
        <v>0.16</v>
      </c>
      <c r="O25" s="190">
        <v>0.16</v>
      </c>
      <c r="P25" s="28" t="s">
        <v>294</v>
      </c>
      <c r="Q25" s="28" t="s">
        <v>489</v>
      </c>
      <c r="R25" s="28" t="s">
        <v>489</v>
      </c>
      <c r="S25" s="28" t="s">
        <v>489</v>
      </c>
      <c r="T25" s="28" t="s">
        <v>489</v>
      </c>
    </row>
    <row r="26" spans="1:113" x14ac:dyDescent="0.25">
      <c r="A26" s="28">
        <v>2</v>
      </c>
      <c r="B26" s="185" t="s">
        <v>558</v>
      </c>
      <c r="C26" s="185" t="s">
        <v>558</v>
      </c>
      <c r="D26" s="28" t="s">
        <v>553</v>
      </c>
      <c r="E26" s="28" t="s">
        <v>554</v>
      </c>
      <c r="F26" s="28" t="s">
        <v>555</v>
      </c>
      <c r="G26" s="189" t="s">
        <v>559</v>
      </c>
      <c r="H26" s="189" t="s">
        <v>559</v>
      </c>
      <c r="I26" s="28" t="s">
        <v>294</v>
      </c>
      <c r="J26" s="28" t="s">
        <v>557</v>
      </c>
      <c r="K26" s="28" t="s">
        <v>294</v>
      </c>
      <c r="L26" s="28">
        <v>10</v>
      </c>
      <c r="M26" s="28">
        <v>10</v>
      </c>
      <c r="N26" s="190">
        <v>0.16</v>
      </c>
      <c r="O26" s="190">
        <v>0.16</v>
      </c>
      <c r="P26" s="28" t="s">
        <v>294</v>
      </c>
      <c r="Q26" s="28" t="s">
        <v>489</v>
      </c>
      <c r="R26" s="28" t="s">
        <v>489</v>
      </c>
      <c r="S26" s="28" t="s">
        <v>489</v>
      </c>
      <c r="T26" s="28" t="s">
        <v>489</v>
      </c>
    </row>
    <row r="27" spans="1:113" s="30" customFormat="1" x14ac:dyDescent="0.25">
      <c r="A27" s="28">
        <v>3</v>
      </c>
      <c r="B27" s="185" t="s">
        <v>560</v>
      </c>
      <c r="C27" s="185" t="s">
        <v>560</v>
      </c>
      <c r="D27" s="28" t="s">
        <v>553</v>
      </c>
      <c r="E27" s="28" t="s">
        <v>554</v>
      </c>
      <c r="F27" s="28" t="s">
        <v>555</v>
      </c>
      <c r="G27" s="189" t="s">
        <v>561</v>
      </c>
      <c r="H27" s="189" t="s">
        <v>561</v>
      </c>
      <c r="I27" s="28" t="s">
        <v>294</v>
      </c>
      <c r="J27" s="28" t="s">
        <v>557</v>
      </c>
      <c r="K27" s="28" t="s">
        <v>294</v>
      </c>
      <c r="L27" s="28">
        <v>10</v>
      </c>
      <c r="M27" s="28">
        <v>10</v>
      </c>
      <c r="N27" s="190">
        <v>0.16</v>
      </c>
      <c r="O27" s="190">
        <v>0.16</v>
      </c>
      <c r="P27" s="28" t="s">
        <v>294</v>
      </c>
      <c r="Q27" s="28" t="s">
        <v>489</v>
      </c>
      <c r="R27" s="28" t="s">
        <v>489</v>
      </c>
      <c r="S27" s="28" t="s">
        <v>489</v>
      </c>
      <c r="T27" s="28" t="s">
        <v>489</v>
      </c>
    </row>
    <row r="28" spans="1:113" s="30" customFormat="1" x14ac:dyDescent="0.25">
      <c r="A28" s="28">
        <v>4</v>
      </c>
      <c r="B28" s="185" t="s">
        <v>562</v>
      </c>
      <c r="C28" s="185" t="s">
        <v>562</v>
      </c>
      <c r="D28" s="28" t="s">
        <v>553</v>
      </c>
      <c r="E28" s="28" t="s">
        <v>554</v>
      </c>
      <c r="F28" s="28" t="s">
        <v>555</v>
      </c>
      <c r="G28" s="189" t="s">
        <v>563</v>
      </c>
      <c r="H28" s="189" t="s">
        <v>563</v>
      </c>
      <c r="I28" s="28" t="s">
        <v>294</v>
      </c>
      <c r="J28" s="28" t="s">
        <v>557</v>
      </c>
      <c r="K28" s="28" t="s">
        <v>294</v>
      </c>
      <c r="L28" s="28">
        <v>10</v>
      </c>
      <c r="M28" s="28">
        <v>10</v>
      </c>
      <c r="N28" s="190">
        <v>0.25</v>
      </c>
      <c r="O28" s="190">
        <v>0.25</v>
      </c>
      <c r="P28" s="28" t="s">
        <v>294</v>
      </c>
      <c r="Q28" s="28" t="s">
        <v>489</v>
      </c>
      <c r="R28" s="28" t="s">
        <v>489</v>
      </c>
      <c r="S28" s="28" t="s">
        <v>489</v>
      </c>
      <c r="T28" s="28" t="s">
        <v>489</v>
      </c>
    </row>
    <row r="29" spans="1:113" x14ac:dyDescent="0.25">
      <c r="A29" s="28">
        <v>5</v>
      </c>
      <c r="B29" s="185" t="s">
        <v>564</v>
      </c>
      <c r="C29" s="185" t="s">
        <v>564</v>
      </c>
      <c r="D29" s="28" t="s">
        <v>553</v>
      </c>
      <c r="E29" s="28" t="s">
        <v>554</v>
      </c>
      <c r="F29" s="28" t="s">
        <v>555</v>
      </c>
      <c r="G29" s="189" t="s">
        <v>565</v>
      </c>
      <c r="H29" s="189" t="s">
        <v>565</v>
      </c>
      <c r="I29" s="28" t="s">
        <v>294</v>
      </c>
      <c r="J29" s="28" t="s">
        <v>557</v>
      </c>
      <c r="K29" s="28" t="s">
        <v>294</v>
      </c>
      <c r="L29" s="28">
        <v>10</v>
      </c>
      <c r="M29" s="28">
        <v>10</v>
      </c>
      <c r="N29" s="190">
        <v>0.1</v>
      </c>
      <c r="O29" s="190">
        <v>0.1</v>
      </c>
      <c r="P29" s="28" t="s">
        <v>294</v>
      </c>
      <c r="Q29" s="28" t="s">
        <v>489</v>
      </c>
      <c r="R29" s="28" t="s">
        <v>489</v>
      </c>
      <c r="S29" s="28" t="s">
        <v>489</v>
      </c>
      <c r="T29" s="28" t="s">
        <v>489</v>
      </c>
    </row>
    <row r="30" spans="1:113" x14ac:dyDescent="0.25">
      <c r="A30" s="28">
        <v>6</v>
      </c>
      <c r="B30" s="185" t="s">
        <v>566</v>
      </c>
      <c r="C30" s="185" t="s">
        <v>566</v>
      </c>
      <c r="D30" s="28" t="s">
        <v>553</v>
      </c>
      <c r="E30" s="28" t="s">
        <v>554</v>
      </c>
      <c r="F30" s="28" t="s">
        <v>555</v>
      </c>
      <c r="G30" s="189" t="s">
        <v>567</v>
      </c>
      <c r="H30" s="189" t="s">
        <v>567</v>
      </c>
      <c r="I30" s="28" t="s">
        <v>294</v>
      </c>
      <c r="J30" s="28" t="s">
        <v>557</v>
      </c>
      <c r="K30" s="28" t="s">
        <v>294</v>
      </c>
      <c r="L30" s="28">
        <v>10</v>
      </c>
      <c r="M30" s="28">
        <v>10</v>
      </c>
      <c r="N30" s="190">
        <v>0.1</v>
      </c>
      <c r="O30" s="190">
        <v>0.1</v>
      </c>
      <c r="P30" s="28" t="s">
        <v>294</v>
      </c>
      <c r="Q30" s="28" t="s">
        <v>489</v>
      </c>
      <c r="R30" s="28" t="s">
        <v>489</v>
      </c>
      <c r="S30" s="28" t="s">
        <v>489</v>
      </c>
      <c r="T30" s="28" t="s">
        <v>489</v>
      </c>
      <c r="U30" s="32"/>
      <c r="V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row>
    <row r="31" spans="1:113" x14ac:dyDescent="0.25">
      <c r="A31" s="28">
        <v>7</v>
      </c>
      <c r="B31" s="185" t="s">
        <v>568</v>
      </c>
      <c r="C31" s="185" t="s">
        <v>568</v>
      </c>
      <c r="D31" s="28" t="s">
        <v>553</v>
      </c>
      <c r="E31" s="28" t="s">
        <v>554</v>
      </c>
      <c r="F31" s="28" t="s">
        <v>555</v>
      </c>
      <c r="G31" s="189" t="s">
        <v>569</v>
      </c>
      <c r="H31" s="189" t="s">
        <v>569</v>
      </c>
      <c r="I31" s="28" t="s">
        <v>294</v>
      </c>
      <c r="J31" s="28" t="s">
        <v>557</v>
      </c>
      <c r="K31" s="28" t="s">
        <v>294</v>
      </c>
      <c r="L31" s="28">
        <v>10</v>
      </c>
      <c r="M31" s="28">
        <v>10</v>
      </c>
      <c r="N31" s="190">
        <v>0.1</v>
      </c>
      <c r="O31" s="190">
        <v>0.1</v>
      </c>
      <c r="P31" s="28" t="s">
        <v>294</v>
      </c>
      <c r="Q31" s="28" t="s">
        <v>489</v>
      </c>
      <c r="R31" s="28" t="s">
        <v>489</v>
      </c>
      <c r="S31" s="28" t="s">
        <v>489</v>
      </c>
      <c r="T31" s="28" t="s">
        <v>489</v>
      </c>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A32" s="28">
        <v>8</v>
      </c>
      <c r="B32" s="185" t="s">
        <v>570</v>
      </c>
      <c r="C32" s="185" t="s">
        <v>570</v>
      </c>
      <c r="D32" s="28" t="s">
        <v>553</v>
      </c>
      <c r="E32" s="28" t="s">
        <v>554</v>
      </c>
      <c r="F32" s="28" t="s">
        <v>555</v>
      </c>
      <c r="G32" s="189" t="s">
        <v>571</v>
      </c>
      <c r="H32" s="189" t="s">
        <v>571</v>
      </c>
      <c r="I32" s="28" t="s">
        <v>294</v>
      </c>
      <c r="J32" s="28" t="s">
        <v>557</v>
      </c>
      <c r="K32" s="28" t="s">
        <v>294</v>
      </c>
      <c r="L32" s="28">
        <v>10</v>
      </c>
      <c r="M32" s="28">
        <v>10</v>
      </c>
      <c r="N32" s="190">
        <v>0.16</v>
      </c>
      <c r="O32" s="190">
        <v>0.16</v>
      </c>
      <c r="P32" s="28" t="s">
        <v>294</v>
      </c>
      <c r="Q32" s="28" t="s">
        <v>489</v>
      </c>
      <c r="R32" s="28" t="s">
        <v>489</v>
      </c>
      <c r="S32" s="28" t="s">
        <v>489</v>
      </c>
      <c r="T32" s="28" t="s">
        <v>489</v>
      </c>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row>
    <row r="33" spans="1:113" s="34" customFormat="1" x14ac:dyDescent="0.25">
      <c r="A33" s="28">
        <v>9</v>
      </c>
      <c r="B33" s="185" t="s">
        <v>572</v>
      </c>
      <c r="C33" s="185" t="s">
        <v>572</v>
      </c>
      <c r="D33" s="28" t="s">
        <v>553</v>
      </c>
      <c r="E33" s="28" t="s">
        <v>554</v>
      </c>
      <c r="F33" s="28" t="s">
        <v>555</v>
      </c>
      <c r="G33" s="189" t="s">
        <v>573</v>
      </c>
      <c r="H33" s="189" t="s">
        <v>573</v>
      </c>
      <c r="I33" s="28" t="s">
        <v>294</v>
      </c>
      <c r="J33" s="28" t="s">
        <v>557</v>
      </c>
      <c r="K33" s="28" t="s">
        <v>294</v>
      </c>
      <c r="L33" s="28">
        <v>10</v>
      </c>
      <c r="M33" s="28">
        <v>10</v>
      </c>
      <c r="N33" s="190">
        <v>0.16</v>
      </c>
      <c r="O33" s="190">
        <v>0.16</v>
      </c>
      <c r="P33" s="28" t="s">
        <v>294</v>
      </c>
      <c r="Q33" s="28" t="s">
        <v>489</v>
      </c>
      <c r="R33" s="28" t="s">
        <v>489</v>
      </c>
      <c r="S33" s="28" t="s">
        <v>489</v>
      </c>
      <c r="T33" s="28" t="s">
        <v>489</v>
      </c>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1:113" s="34" customFormat="1" x14ac:dyDescent="0.25">
      <c r="A34" s="28">
        <v>10</v>
      </c>
      <c r="B34" s="185" t="s">
        <v>574</v>
      </c>
      <c r="C34" s="185" t="s">
        <v>574</v>
      </c>
      <c r="D34" s="28" t="s">
        <v>553</v>
      </c>
      <c r="E34" s="28" t="s">
        <v>554</v>
      </c>
      <c r="F34" s="28" t="s">
        <v>555</v>
      </c>
      <c r="G34" s="189" t="s">
        <v>575</v>
      </c>
      <c r="H34" s="189" t="s">
        <v>575</v>
      </c>
      <c r="I34" s="28" t="s">
        <v>294</v>
      </c>
      <c r="J34" s="28" t="s">
        <v>557</v>
      </c>
      <c r="K34" s="28" t="s">
        <v>294</v>
      </c>
      <c r="L34" s="28">
        <v>10</v>
      </c>
      <c r="M34" s="28">
        <v>10</v>
      </c>
      <c r="N34" s="190">
        <v>0.1</v>
      </c>
      <c r="O34" s="190">
        <v>0.1</v>
      </c>
      <c r="P34" s="28" t="s">
        <v>294</v>
      </c>
      <c r="Q34" s="28" t="s">
        <v>489</v>
      </c>
      <c r="R34" s="28" t="s">
        <v>489</v>
      </c>
      <c r="S34" s="28" t="s">
        <v>489</v>
      </c>
      <c r="T34" s="28" t="s">
        <v>489</v>
      </c>
      <c r="U34" s="33"/>
      <c r="V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1:113" s="34" customFormat="1" x14ac:dyDescent="0.25">
      <c r="A35" s="28">
        <v>11</v>
      </c>
      <c r="B35" s="185" t="s">
        <v>576</v>
      </c>
      <c r="C35" s="185" t="s">
        <v>576</v>
      </c>
      <c r="D35" s="28" t="s">
        <v>553</v>
      </c>
      <c r="E35" s="28" t="s">
        <v>554</v>
      </c>
      <c r="F35" s="28" t="s">
        <v>555</v>
      </c>
      <c r="G35" s="189" t="s">
        <v>577</v>
      </c>
      <c r="H35" s="189" t="s">
        <v>577</v>
      </c>
      <c r="I35" s="28" t="s">
        <v>294</v>
      </c>
      <c r="J35" s="28" t="s">
        <v>557</v>
      </c>
      <c r="K35" s="28" t="s">
        <v>294</v>
      </c>
      <c r="L35" s="28">
        <v>10</v>
      </c>
      <c r="M35" s="28">
        <v>10</v>
      </c>
      <c r="N35" s="190">
        <v>0.25</v>
      </c>
      <c r="O35" s="190">
        <v>0.25</v>
      </c>
      <c r="P35" s="28" t="s">
        <v>294</v>
      </c>
      <c r="Q35" s="28" t="s">
        <v>489</v>
      </c>
      <c r="R35" s="28" t="s">
        <v>489</v>
      </c>
      <c r="S35" s="28" t="s">
        <v>489</v>
      </c>
      <c r="T35" s="28" t="s">
        <v>489</v>
      </c>
      <c r="U35" s="33"/>
      <c r="V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1:113" s="34" customFormat="1" x14ac:dyDescent="0.25">
      <c r="A36" s="28">
        <v>12</v>
      </c>
      <c r="B36" s="185" t="s">
        <v>578</v>
      </c>
      <c r="C36" s="185" t="s">
        <v>578</v>
      </c>
      <c r="D36" s="28" t="s">
        <v>553</v>
      </c>
      <c r="E36" s="28" t="s">
        <v>554</v>
      </c>
      <c r="F36" s="28" t="s">
        <v>555</v>
      </c>
      <c r="G36" s="189" t="s">
        <v>579</v>
      </c>
      <c r="H36" s="189" t="s">
        <v>579</v>
      </c>
      <c r="I36" s="28" t="s">
        <v>294</v>
      </c>
      <c r="J36" s="28" t="s">
        <v>557</v>
      </c>
      <c r="K36" s="28" t="s">
        <v>294</v>
      </c>
      <c r="L36" s="28">
        <v>10</v>
      </c>
      <c r="M36" s="28">
        <v>10</v>
      </c>
      <c r="N36" s="190">
        <v>0.4</v>
      </c>
      <c r="O36" s="190">
        <v>0.4</v>
      </c>
      <c r="P36" s="28" t="s">
        <v>294</v>
      </c>
      <c r="Q36" s="28" t="s">
        <v>489</v>
      </c>
      <c r="R36" s="28" t="s">
        <v>489</v>
      </c>
      <c r="S36" s="28" t="s">
        <v>489</v>
      </c>
      <c r="T36" s="28" t="s">
        <v>489</v>
      </c>
      <c r="U36" s="33"/>
      <c r="V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1:113" s="34" customFormat="1" x14ac:dyDescent="0.25">
      <c r="A37" s="28">
        <v>13</v>
      </c>
      <c r="B37" s="185" t="s">
        <v>580</v>
      </c>
      <c r="C37" s="185" t="s">
        <v>580</v>
      </c>
      <c r="D37" s="28" t="s">
        <v>553</v>
      </c>
      <c r="E37" s="28" t="s">
        <v>554</v>
      </c>
      <c r="F37" s="28" t="s">
        <v>555</v>
      </c>
      <c r="G37" s="189" t="s">
        <v>581</v>
      </c>
      <c r="H37" s="189" t="s">
        <v>581</v>
      </c>
      <c r="I37" s="28" t="s">
        <v>294</v>
      </c>
      <c r="J37" s="28" t="s">
        <v>557</v>
      </c>
      <c r="K37" s="28" t="s">
        <v>294</v>
      </c>
      <c r="L37" s="28">
        <v>10</v>
      </c>
      <c r="M37" s="28">
        <v>10</v>
      </c>
      <c r="N37" s="190">
        <v>0.63</v>
      </c>
      <c r="O37" s="190">
        <v>0.63</v>
      </c>
      <c r="P37" s="28" t="s">
        <v>294</v>
      </c>
      <c r="Q37" s="28" t="s">
        <v>489</v>
      </c>
      <c r="R37" s="28" t="s">
        <v>489</v>
      </c>
      <c r="S37" s="28" t="s">
        <v>489</v>
      </c>
      <c r="T37" s="28" t="s">
        <v>489</v>
      </c>
      <c r="U37" s="33"/>
      <c r="V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1:113" s="34" customFormat="1" x14ac:dyDescent="0.25">
      <c r="A38" s="28">
        <v>14</v>
      </c>
      <c r="B38" s="185" t="s">
        <v>582</v>
      </c>
      <c r="C38" s="185" t="s">
        <v>582</v>
      </c>
      <c r="D38" s="28" t="s">
        <v>553</v>
      </c>
      <c r="E38" s="28" t="s">
        <v>554</v>
      </c>
      <c r="F38" s="28" t="s">
        <v>555</v>
      </c>
      <c r="G38" s="189" t="s">
        <v>583</v>
      </c>
      <c r="H38" s="189" t="s">
        <v>583</v>
      </c>
      <c r="I38" s="28" t="s">
        <v>294</v>
      </c>
      <c r="J38" s="28" t="s">
        <v>557</v>
      </c>
      <c r="K38" s="28" t="s">
        <v>294</v>
      </c>
      <c r="L38" s="28">
        <v>10</v>
      </c>
      <c r="M38" s="28">
        <v>10</v>
      </c>
      <c r="N38" s="190">
        <v>0.1</v>
      </c>
      <c r="O38" s="190">
        <v>0.1</v>
      </c>
      <c r="P38" s="28" t="s">
        <v>294</v>
      </c>
      <c r="Q38" s="28" t="s">
        <v>489</v>
      </c>
      <c r="R38" s="28" t="s">
        <v>489</v>
      </c>
      <c r="S38" s="28" t="s">
        <v>489</v>
      </c>
      <c r="T38" s="28" t="s">
        <v>489</v>
      </c>
      <c r="U38" s="33"/>
      <c r="V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1:113" s="34" customFormat="1" x14ac:dyDescent="0.25">
      <c r="A39" s="28">
        <v>15</v>
      </c>
      <c r="B39" s="185" t="s">
        <v>584</v>
      </c>
      <c r="C39" s="185" t="s">
        <v>584</v>
      </c>
      <c r="D39" s="28" t="s">
        <v>553</v>
      </c>
      <c r="E39" s="28" t="s">
        <v>554</v>
      </c>
      <c r="F39" s="28" t="s">
        <v>555</v>
      </c>
      <c r="G39" s="189" t="s">
        <v>585</v>
      </c>
      <c r="H39" s="189" t="s">
        <v>585</v>
      </c>
      <c r="I39" s="28" t="s">
        <v>294</v>
      </c>
      <c r="J39" s="28" t="s">
        <v>557</v>
      </c>
      <c r="K39" s="28" t="s">
        <v>294</v>
      </c>
      <c r="L39" s="28">
        <v>10</v>
      </c>
      <c r="M39" s="28">
        <v>10</v>
      </c>
      <c r="N39" s="190">
        <v>0.1</v>
      </c>
      <c r="O39" s="190">
        <v>0.1</v>
      </c>
      <c r="P39" s="28" t="s">
        <v>294</v>
      </c>
      <c r="Q39" s="28" t="s">
        <v>489</v>
      </c>
      <c r="R39" s="28" t="s">
        <v>489</v>
      </c>
      <c r="S39" s="28" t="s">
        <v>489</v>
      </c>
      <c r="T39" s="28" t="s">
        <v>489</v>
      </c>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1:113" s="34" customFormat="1" x14ac:dyDescent="0.25">
      <c r="A40" s="28">
        <v>16</v>
      </c>
      <c r="B40" s="185" t="s">
        <v>586</v>
      </c>
      <c r="C40" s="185" t="s">
        <v>586</v>
      </c>
      <c r="D40" s="28" t="s">
        <v>553</v>
      </c>
      <c r="E40" s="28" t="s">
        <v>554</v>
      </c>
      <c r="F40" s="28" t="s">
        <v>555</v>
      </c>
      <c r="G40" s="189" t="s">
        <v>587</v>
      </c>
      <c r="H40" s="189" t="s">
        <v>587</v>
      </c>
      <c r="I40" s="28" t="s">
        <v>294</v>
      </c>
      <c r="J40" s="28" t="s">
        <v>557</v>
      </c>
      <c r="K40" s="28" t="s">
        <v>294</v>
      </c>
      <c r="L40" s="28">
        <v>10</v>
      </c>
      <c r="M40" s="28">
        <v>10</v>
      </c>
      <c r="N40" s="190">
        <v>0.25</v>
      </c>
      <c r="O40" s="190">
        <v>0.25</v>
      </c>
      <c r="P40" s="28" t="s">
        <v>294</v>
      </c>
      <c r="Q40" s="28" t="s">
        <v>489</v>
      </c>
      <c r="R40" s="28" t="s">
        <v>489</v>
      </c>
      <c r="S40" s="28" t="s">
        <v>489</v>
      </c>
      <c r="T40" s="28" t="s">
        <v>489</v>
      </c>
      <c r="U40" s="33"/>
      <c r="V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1:113" s="34" customFormat="1" x14ac:dyDescent="0.25">
      <c r="A41" s="28">
        <v>17</v>
      </c>
      <c r="B41" s="185" t="s">
        <v>588</v>
      </c>
      <c r="C41" s="185" t="s">
        <v>588</v>
      </c>
      <c r="D41" s="28" t="s">
        <v>553</v>
      </c>
      <c r="E41" s="28" t="s">
        <v>554</v>
      </c>
      <c r="F41" s="28" t="s">
        <v>555</v>
      </c>
      <c r="G41" s="189" t="s">
        <v>589</v>
      </c>
      <c r="H41" s="189" t="s">
        <v>589</v>
      </c>
      <c r="I41" s="28" t="s">
        <v>294</v>
      </c>
      <c r="J41" s="28" t="s">
        <v>557</v>
      </c>
      <c r="K41" s="28" t="s">
        <v>294</v>
      </c>
      <c r="L41" s="28">
        <v>10</v>
      </c>
      <c r="M41" s="28">
        <v>10</v>
      </c>
      <c r="N41" s="190">
        <v>0.16</v>
      </c>
      <c r="O41" s="190">
        <v>0.16</v>
      </c>
      <c r="P41" s="28" t="s">
        <v>294</v>
      </c>
      <c r="Q41" s="28" t="s">
        <v>489</v>
      </c>
      <c r="R41" s="28" t="s">
        <v>489</v>
      </c>
      <c r="S41" s="28" t="s">
        <v>489</v>
      </c>
      <c r="T41" s="28" t="s">
        <v>489</v>
      </c>
      <c r="U41" s="33"/>
      <c r="V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1:113" s="34" customFormat="1" x14ac:dyDescent="0.25">
      <c r="A42" s="28">
        <v>18</v>
      </c>
      <c r="B42" s="185" t="s">
        <v>590</v>
      </c>
      <c r="C42" s="185" t="s">
        <v>590</v>
      </c>
      <c r="D42" s="28" t="s">
        <v>553</v>
      </c>
      <c r="E42" s="28" t="s">
        <v>554</v>
      </c>
      <c r="F42" s="28" t="s">
        <v>555</v>
      </c>
      <c r="G42" s="189" t="s">
        <v>591</v>
      </c>
      <c r="H42" s="189" t="s">
        <v>591</v>
      </c>
      <c r="I42" s="28" t="s">
        <v>294</v>
      </c>
      <c r="J42" s="28" t="s">
        <v>557</v>
      </c>
      <c r="K42" s="28" t="s">
        <v>294</v>
      </c>
      <c r="L42" s="28">
        <v>10</v>
      </c>
      <c r="M42" s="28">
        <v>10</v>
      </c>
      <c r="N42" s="190">
        <v>0.1</v>
      </c>
      <c r="O42" s="190">
        <v>0.1</v>
      </c>
      <c r="P42" s="28" t="s">
        <v>294</v>
      </c>
      <c r="Q42" s="28" t="s">
        <v>489</v>
      </c>
      <c r="R42" s="28" t="s">
        <v>489</v>
      </c>
      <c r="S42" s="28" t="s">
        <v>489</v>
      </c>
      <c r="T42" s="28" t="s">
        <v>489</v>
      </c>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1:113" x14ac:dyDescent="0.25">
      <c r="A43" s="28">
        <v>19</v>
      </c>
      <c r="B43" s="185" t="s">
        <v>592</v>
      </c>
      <c r="C43" s="185" t="s">
        <v>592</v>
      </c>
      <c r="D43" s="28" t="s">
        <v>553</v>
      </c>
      <c r="E43" s="28" t="s">
        <v>554</v>
      </c>
      <c r="F43" s="28" t="s">
        <v>555</v>
      </c>
      <c r="G43" s="189" t="s">
        <v>593</v>
      </c>
      <c r="H43" s="189" t="s">
        <v>593</v>
      </c>
      <c r="I43" s="28" t="s">
        <v>294</v>
      </c>
      <c r="J43" s="28" t="s">
        <v>557</v>
      </c>
      <c r="K43" s="28" t="s">
        <v>294</v>
      </c>
      <c r="L43" s="28">
        <v>10</v>
      </c>
      <c r="M43" s="28">
        <v>10</v>
      </c>
      <c r="N43" s="190">
        <v>0.25</v>
      </c>
      <c r="O43" s="190">
        <v>0.25</v>
      </c>
      <c r="P43" s="28" t="s">
        <v>294</v>
      </c>
      <c r="Q43" s="28" t="s">
        <v>489</v>
      </c>
      <c r="R43" s="28" t="s">
        <v>489</v>
      </c>
      <c r="S43" s="28" t="s">
        <v>489</v>
      </c>
      <c r="T43" s="28" t="s">
        <v>489</v>
      </c>
    </row>
    <row r="44" spans="1:113" x14ac:dyDescent="0.25">
      <c r="A44" s="28">
        <v>20</v>
      </c>
      <c r="B44" s="191" t="s">
        <v>594</v>
      </c>
      <c r="C44" s="191" t="s">
        <v>594</v>
      </c>
      <c r="D44" s="192" t="s">
        <v>553</v>
      </c>
      <c r="E44" s="192" t="s">
        <v>554</v>
      </c>
      <c r="F44" s="28" t="s">
        <v>555</v>
      </c>
      <c r="G44" s="193" t="s">
        <v>577</v>
      </c>
      <c r="H44" s="193" t="s">
        <v>577</v>
      </c>
      <c r="I44" s="192" t="s">
        <v>294</v>
      </c>
      <c r="J44" s="28" t="s">
        <v>557</v>
      </c>
      <c r="K44" s="192" t="s">
        <v>294</v>
      </c>
      <c r="L44" s="192">
        <v>10</v>
      </c>
      <c r="M44" s="192">
        <v>10</v>
      </c>
      <c r="N44" s="194">
        <v>0.25</v>
      </c>
      <c r="O44" s="194">
        <v>0.25</v>
      </c>
      <c r="P44" s="192" t="s">
        <v>294</v>
      </c>
      <c r="Q44" s="192" t="s">
        <v>489</v>
      </c>
      <c r="R44" s="192" t="s">
        <v>489</v>
      </c>
      <c r="S44" s="192" t="s">
        <v>489</v>
      </c>
      <c r="T44" s="192" t="s">
        <v>489</v>
      </c>
    </row>
    <row r="45" spans="1:113" x14ac:dyDescent="0.25">
      <c r="A45" s="28">
        <v>21</v>
      </c>
      <c r="B45" s="191" t="s">
        <v>595</v>
      </c>
      <c r="C45" s="191" t="s">
        <v>595</v>
      </c>
      <c r="D45" s="192" t="s">
        <v>553</v>
      </c>
      <c r="E45" s="192" t="s">
        <v>554</v>
      </c>
      <c r="F45" s="28" t="s">
        <v>555</v>
      </c>
      <c r="G45" s="193" t="s">
        <v>596</v>
      </c>
      <c r="H45" s="193" t="s">
        <v>596</v>
      </c>
      <c r="I45" s="192" t="s">
        <v>294</v>
      </c>
      <c r="J45" s="28" t="s">
        <v>557</v>
      </c>
      <c r="K45" s="192" t="s">
        <v>294</v>
      </c>
      <c r="L45" s="192">
        <v>10</v>
      </c>
      <c r="M45" s="192">
        <v>10</v>
      </c>
      <c r="N45" s="194">
        <v>0.4</v>
      </c>
      <c r="O45" s="194">
        <v>0.4</v>
      </c>
      <c r="P45" s="192" t="s">
        <v>294</v>
      </c>
      <c r="Q45" s="192" t="s">
        <v>489</v>
      </c>
      <c r="R45" s="192" t="s">
        <v>489</v>
      </c>
      <c r="S45" s="192" t="s">
        <v>489</v>
      </c>
      <c r="T45" s="192" t="s">
        <v>489</v>
      </c>
    </row>
    <row r="46" spans="1:113" x14ac:dyDescent="0.25">
      <c r="A46" s="28">
        <v>22</v>
      </c>
      <c r="B46" s="191" t="s">
        <v>597</v>
      </c>
      <c r="C46" s="191" t="s">
        <v>597</v>
      </c>
      <c r="D46" s="192" t="s">
        <v>553</v>
      </c>
      <c r="E46" s="192" t="s">
        <v>554</v>
      </c>
      <c r="F46" s="28" t="s">
        <v>555</v>
      </c>
      <c r="G46" s="193" t="s">
        <v>598</v>
      </c>
      <c r="H46" s="193" t="s">
        <v>598</v>
      </c>
      <c r="I46" s="192" t="s">
        <v>294</v>
      </c>
      <c r="J46" s="28" t="s">
        <v>557</v>
      </c>
      <c r="K46" s="192" t="s">
        <v>294</v>
      </c>
      <c r="L46" s="192">
        <v>10</v>
      </c>
      <c r="M46" s="192">
        <v>10</v>
      </c>
      <c r="N46" s="194">
        <v>0.25</v>
      </c>
      <c r="O46" s="194">
        <v>0.25</v>
      </c>
      <c r="P46" s="192" t="s">
        <v>294</v>
      </c>
      <c r="Q46" s="192" t="s">
        <v>489</v>
      </c>
      <c r="R46" s="192" t="s">
        <v>489</v>
      </c>
      <c r="S46" s="192" t="s">
        <v>489</v>
      </c>
      <c r="T46" s="192" t="s">
        <v>489</v>
      </c>
    </row>
    <row r="47" spans="1:113" x14ac:dyDescent="0.25">
      <c r="A47" s="28">
        <v>23</v>
      </c>
      <c r="B47" s="192" t="s">
        <v>294</v>
      </c>
      <c r="C47" s="191" t="s">
        <v>599</v>
      </c>
      <c r="D47" s="192" t="s">
        <v>553</v>
      </c>
      <c r="E47" s="192" t="s">
        <v>294</v>
      </c>
      <c r="F47" s="28" t="s">
        <v>555</v>
      </c>
      <c r="G47" s="192" t="s">
        <v>294</v>
      </c>
      <c r="H47" s="193" t="s">
        <v>600</v>
      </c>
      <c r="I47" s="192" t="s">
        <v>294</v>
      </c>
      <c r="J47" s="28" t="s">
        <v>557</v>
      </c>
      <c r="K47" s="192" t="s">
        <v>294</v>
      </c>
      <c r="L47" s="192">
        <v>10</v>
      </c>
      <c r="M47" s="192">
        <v>10</v>
      </c>
      <c r="N47" s="194" t="s">
        <v>294</v>
      </c>
      <c r="O47" s="194">
        <v>0.1</v>
      </c>
      <c r="P47" s="192" t="s">
        <v>294</v>
      </c>
      <c r="Q47" s="192" t="s">
        <v>489</v>
      </c>
      <c r="R47" s="192" t="s">
        <v>489</v>
      </c>
      <c r="S47" s="192" t="s">
        <v>489</v>
      </c>
      <c r="T47" s="192" t="s">
        <v>489</v>
      </c>
    </row>
    <row r="48" spans="1:113" x14ac:dyDescent="0.25">
      <c r="A48" s="28">
        <v>24</v>
      </c>
      <c r="B48" s="192" t="s">
        <v>294</v>
      </c>
      <c r="C48" s="191" t="s">
        <v>601</v>
      </c>
      <c r="D48" s="192" t="s">
        <v>553</v>
      </c>
      <c r="E48" s="192" t="s">
        <v>294</v>
      </c>
      <c r="F48" s="28" t="s">
        <v>555</v>
      </c>
      <c r="G48" s="192" t="s">
        <v>294</v>
      </c>
      <c r="H48" s="193" t="s">
        <v>602</v>
      </c>
      <c r="I48" s="192" t="s">
        <v>294</v>
      </c>
      <c r="J48" s="28" t="s">
        <v>557</v>
      </c>
      <c r="K48" s="192" t="s">
        <v>294</v>
      </c>
      <c r="L48" s="192">
        <v>10</v>
      </c>
      <c r="M48" s="192">
        <v>10</v>
      </c>
      <c r="N48" s="194" t="s">
        <v>294</v>
      </c>
      <c r="O48" s="194">
        <v>0.25</v>
      </c>
      <c r="P48" s="192" t="s">
        <v>294</v>
      </c>
      <c r="Q48" s="192" t="s">
        <v>489</v>
      </c>
      <c r="R48" s="192" t="s">
        <v>489</v>
      </c>
      <c r="S48" s="192" t="s">
        <v>489</v>
      </c>
      <c r="T48" s="192" t="s">
        <v>489</v>
      </c>
    </row>
    <row r="49" spans="1:20" x14ac:dyDescent="0.25">
      <c r="A49" s="28">
        <v>25</v>
      </c>
      <c r="B49" s="192" t="s">
        <v>294</v>
      </c>
      <c r="C49" s="191" t="s">
        <v>603</v>
      </c>
      <c r="D49" s="192" t="s">
        <v>553</v>
      </c>
      <c r="E49" s="192" t="s">
        <v>294</v>
      </c>
      <c r="F49" s="28" t="s">
        <v>555</v>
      </c>
      <c r="G49" s="192" t="s">
        <v>294</v>
      </c>
      <c r="H49" s="193" t="s">
        <v>604</v>
      </c>
      <c r="I49" s="192" t="s">
        <v>294</v>
      </c>
      <c r="J49" s="28" t="s">
        <v>557</v>
      </c>
      <c r="K49" s="192" t="s">
        <v>294</v>
      </c>
      <c r="L49" s="192">
        <v>10</v>
      </c>
      <c r="M49" s="192">
        <v>10</v>
      </c>
      <c r="N49" s="194" t="s">
        <v>294</v>
      </c>
      <c r="O49" s="194">
        <v>0.25</v>
      </c>
      <c r="P49" s="192" t="s">
        <v>294</v>
      </c>
      <c r="Q49" s="192" t="s">
        <v>489</v>
      </c>
      <c r="R49" s="192" t="s">
        <v>489</v>
      </c>
      <c r="S49" s="192" t="s">
        <v>489</v>
      </c>
      <c r="T49" s="192" t="s">
        <v>489</v>
      </c>
    </row>
    <row r="50" spans="1:20" x14ac:dyDescent="0.25">
      <c r="A50" s="28">
        <v>26</v>
      </c>
      <c r="B50" s="28" t="s">
        <v>294</v>
      </c>
      <c r="C50" s="185" t="s">
        <v>605</v>
      </c>
      <c r="D50" s="28" t="s">
        <v>553</v>
      </c>
      <c r="E50" s="28" t="s">
        <v>294</v>
      </c>
      <c r="F50" s="28" t="s">
        <v>555</v>
      </c>
      <c r="G50" s="28" t="s">
        <v>294</v>
      </c>
      <c r="H50" s="189" t="s">
        <v>606</v>
      </c>
      <c r="I50" s="28" t="s">
        <v>294</v>
      </c>
      <c r="J50" s="28" t="s">
        <v>557</v>
      </c>
      <c r="K50" s="28" t="s">
        <v>294</v>
      </c>
      <c r="L50" s="28">
        <v>10</v>
      </c>
      <c r="M50" s="28">
        <v>10</v>
      </c>
      <c r="N50" s="190" t="s">
        <v>294</v>
      </c>
      <c r="O50" s="190">
        <v>0.16</v>
      </c>
      <c r="P50" s="28" t="s">
        <v>294</v>
      </c>
      <c r="Q50" s="28" t="s">
        <v>489</v>
      </c>
      <c r="R50" s="28" t="s">
        <v>489</v>
      </c>
      <c r="S50" s="28" t="s">
        <v>489</v>
      </c>
      <c r="T50" s="28" t="s">
        <v>489</v>
      </c>
    </row>
    <row r="51" spans="1:20" x14ac:dyDescent="0.25">
      <c r="A51" s="28">
        <v>27</v>
      </c>
      <c r="B51" s="28" t="s">
        <v>294</v>
      </c>
      <c r="C51" s="185" t="s">
        <v>607</v>
      </c>
      <c r="D51" s="28" t="s">
        <v>553</v>
      </c>
      <c r="E51" s="28" t="s">
        <v>294</v>
      </c>
      <c r="F51" s="28" t="s">
        <v>555</v>
      </c>
      <c r="G51" s="28" t="s">
        <v>294</v>
      </c>
      <c r="H51" s="189" t="s">
        <v>608</v>
      </c>
      <c r="I51" s="28" t="s">
        <v>294</v>
      </c>
      <c r="J51" s="28" t="s">
        <v>557</v>
      </c>
      <c r="K51" s="28" t="s">
        <v>294</v>
      </c>
      <c r="L51" s="28">
        <v>10</v>
      </c>
      <c r="M51" s="28">
        <v>10</v>
      </c>
      <c r="N51" s="190" t="s">
        <v>294</v>
      </c>
      <c r="O51" s="190">
        <v>0.1</v>
      </c>
      <c r="P51" s="28" t="s">
        <v>294</v>
      </c>
      <c r="Q51" s="28" t="s">
        <v>489</v>
      </c>
      <c r="R51" s="28" t="s">
        <v>489</v>
      </c>
      <c r="S51" s="28" t="s">
        <v>489</v>
      </c>
      <c r="T51" s="28" t="s">
        <v>489</v>
      </c>
    </row>
    <row r="52" spans="1:20" x14ac:dyDescent="0.25">
      <c r="A52" s="28">
        <v>28</v>
      </c>
      <c r="B52" s="28" t="s">
        <v>294</v>
      </c>
      <c r="C52" s="185" t="s">
        <v>609</v>
      </c>
      <c r="D52" s="28" t="s">
        <v>553</v>
      </c>
      <c r="E52" s="28" t="s">
        <v>294</v>
      </c>
      <c r="F52" s="28" t="s">
        <v>555</v>
      </c>
      <c r="G52" s="28" t="s">
        <v>294</v>
      </c>
      <c r="H52" s="189" t="s">
        <v>610</v>
      </c>
      <c r="I52" s="28" t="s">
        <v>294</v>
      </c>
      <c r="J52" s="28" t="s">
        <v>557</v>
      </c>
      <c r="K52" s="28" t="s">
        <v>294</v>
      </c>
      <c r="L52" s="28">
        <v>10</v>
      </c>
      <c r="M52" s="28">
        <v>10</v>
      </c>
      <c r="N52" s="190" t="s">
        <v>294</v>
      </c>
      <c r="O52" s="190">
        <v>0.16</v>
      </c>
      <c r="P52" s="28" t="s">
        <v>294</v>
      </c>
      <c r="Q52" s="28" t="s">
        <v>489</v>
      </c>
      <c r="R52" s="28" t="s">
        <v>489</v>
      </c>
      <c r="S52" s="28" t="s">
        <v>489</v>
      </c>
      <c r="T52" s="28" t="s">
        <v>489</v>
      </c>
    </row>
    <row r="53" spans="1:20" x14ac:dyDescent="0.25">
      <c r="A53" s="28">
        <v>29</v>
      </c>
      <c r="B53" s="28" t="s">
        <v>294</v>
      </c>
      <c r="C53" s="185" t="s">
        <v>611</v>
      </c>
      <c r="D53" s="28" t="s">
        <v>553</v>
      </c>
      <c r="E53" s="28" t="s">
        <v>294</v>
      </c>
      <c r="F53" s="28" t="s">
        <v>555</v>
      </c>
      <c r="G53" s="28" t="s">
        <v>294</v>
      </c>
      <c r="H53" s="189" t="s">
        <v>612</v>
      </c>
      <c r="I53" s="28" t="s">
        <v>294</v>
      </c>
      <c r="J53" s="28" t="s">
        <v>557</v>
      </c>
      <c r="K53" s="28" t="s">
        <v>294</v>
      </c>
      <c r="L53" s="28">
        <v>10</v>
      </c>
      <c r="M53" s="28">
        <v>10</v>
      </c>
      <c r="N53" s="190" t="s">
        <v>294</v>
      </c>
      <c r="O53" s="190">
        <v>0.16</v>
      </c>
      <c r="P53" s="28" t="s">
        <v>294</v>
      </c>
      <c r="Q53" s="28" t="s">
        <v>489</v>
      </c>
      <c r="R53" s="28" t="s">
        <v>489</v>
      </c>
      <c r="S53" s="28" t="s">
        <v>489</v>
      </c>
      <c r="T53" s="28" t="s">
        <v>489</v>
      </c>
    </row>
    <row r="54" spans="1:20" x14ac:dyDescent="0.25">
      <c r="A54" s="28">
        <v>30</v>
      </c>
      <c r="B54" s="28" t="s">
        <v>294</v>
      </c>
      <c r="C54" s="185" t="s">
        <v>613</v>
      </c>
      <c r="D54" s="28" t="s">
        <v>553</v>
      </c>
      <c r="E54" s="28" t="s">
        <v>294</v>
      </c>
      <c r="F54" s="28" t="s">
        <v>555</v>
      </c>
      <c r="G54" s="28" t="s">
        <v>294</v>
      </c>
      <c r="H54" s="189" t="s">
        <v>614</v>
      </c>
      <c r="I54" s="28" t="s">
        <v>294</v>
      </c>
      <c r="J54" s="28" t="s">
        <v>557</v>
      </c>
      <c r="K54" s="28" t="s">
        <v>294</v>
      </c>
      <c r="L54" s="28">
        <v>10</v>
      </c>
      <c r="M54" s="28">
        <v>10</v>
      </c>
      <c r="N54" s="190" t="s">
        <v>294</v>
      </c>
      <c r="O54" s="190">
        <v>0.16</v>
      </c>
      <c r="P54" s="28" t="s">
        <v>294</v>
      </c>
      <c r="Q54" s="28" t="s">
        <v>489</v>
      </c>
      <c r="R54" s="28" t="s">
        <v>489</v>
      </c>
      <c r="S54" s="28" t="s">
        <v>489</v>
      </c>
      <c r="T54" s="28" t="s">
        <v>489</v>
      </c>
    </row>
    <row r="55" spans="1:20" x14ac:dyDescent="0.25">
      <c r="A55" s="28">
        <v>31</v>
      </c>
      <c r="B55" s="28" t="s">
        <v>294</v>
      </c>
      <c r="C55" s="185" t="s">
        <v>615</v>
      </c>
      <c r="D55" s="28" t="s">
        <v>553</v>
      </c>
      <c r="E55" s="28" t="s">
        <v>294</v>
      </c>
      <c r="F55" s="28" t="s">
        <v>555</v>
      </c>
      <c r="G55" s="28" t="s">
        <v>294</v>
      </c>
      <c r="H55" s="189" t="s">
        <v>616</v>
      </c>
      <c r="I55" s="28" t="s">
        <v>294</v>
      </c>
      <c r="J55" s="28" t="s">
        <v>557</v>
      </c>
      <c r="K55" s="28" t="s">
        <v>294</v>
      </c>
      <c r="L55" s="28">
        <v>10</v>
      </c>
      <c r="M55" s="28">
        <v>10</v>
      </c>
      <c r="N55" s="190" t="s">
        <v>294</v>
      </c>
      <c r="O55" s="190">
        <v>0.16</v>
      </c>
      <c r="P55" s="28" t="s">
        <v>294</v>
      </c>
      <c r="Q55" s="28" t="s">
        <v>489</v>
      </c>
      <c r="R55" s="28" t="s">
        <v>489</v>
      </c>
      <c r="S55" s="28" t="s">
        <v>489</v>
      </c>
      <c r="T55" s="28" t="s">
        <v>489</v>
      </c>
    </row>
    <row r="56" spans="1:20" x14ac:dyDescent="0.25">
      <c r="A56" s="28">
        <v>32</v>
      </c>
      <c r="B56" s="28" t="s">
        <v>294</v>
      </c>
      <c r="C56" s="185" t="s">
        <v>617</v>
      </c>
      <c r="D56" s="28" t="s">
        <v>553</v>
      </c>
      <c r="E56" s="28" t="s">
        <v>294</v>
      </c>
      <c r="F56" s="28" t="s">
        <v>555</v>
      </c>
      <c r="G56" s="28" t="s">
        <v>294</v>
      </c>
      <c r="H56" s="189" t="s">
        <v>618</v>
      </c>
      <c r="I56" s="28" t="s">
        <v>294</v>
      </c>
      <c r="J56" s="28" t="s">
        <v>557</v>
      </c>
      <c r="K56" s="28" t="s">
        <v>294</v>
      </c>
      <c r="L56" s="28">
        <v>10</v>
      </c>
      <c r="M56" s="28">
        <v>10</v>
      </c>
      <c r="N56" s="190" t="s">
        <v>294</v>
      </c>
      <c r="O56" s="190">
        <v>0.16</v>
      </c>
      <c r="P56" s="28" t="s">
        <v>294</v>
      </c>
      <c r="Q56" s="28" t="s">
        <v>489</v>
      </c>
      <c r="R56" s="28" t="s">
        <v>489</v>
      </c>
      <c r="S56" s="28" t="s">
        <v>489</v>
      </c>
      <c r="T56" s="28" t="s">
        <v>489</v>
      </c>
    </row>
    <row r="57" spans="1:20" x14ac:dyDescent="0.25">
      <c r="A57" s="28">
        <v>33</v>
      </c>
      <c r="B57" s="28" t="s">
        <v>294</v>
      </c>
      <c r="C57" s="185" t="s">
        <v>619</v>
      </c>
      <c r="D57" s="28" t="s">
        <v>553</v>
      </c>
      <c r="E57" s="28" t="s">
        <v>294</v>
      </c>
      <c r="F57" s="28" t="s">
        <v>555</v>
      </c>
      <c r="G57" s="28" t="s">
        <v>294</v>
      </c>
      <c r="H57" s="189" t="s">
        <v>620</v>
      </c>
      <c r="I57" s="28" t="s">
        <v>294</v>
      </c>
      <c r="J57" s="28" t="s">
        <v>557</v>
      </c>
      <c r="K57" s="28" t="s">
        <v>294</v>
      </c>
      <c r="L57" s="28">
        <v>10</v>
      </c>
      <c r="M57" s="28">
        <v>10</v>
      </c>
      <c r="N57" s="190" t="s">
        <v>294</v>
      </c>
      <c r="O57" s="190">
        <v>0.25</v>
      </c>
      <c r="P57" s="28" t="s">
        <v>294</v>
      </c>
      <c r="Q57" s="28" t="s">
        <v>489</v>
      </c>
      <c r="R57" s="28" t="s">
        <v>489</v>
      </c>
      <c r="S57" s="28" t="s">
        <v>489</v>
      </c>
      <c r="T57" s="28" t="s">
        <v>489</v>
      </c>
    </row>
    <row r="58" spans="1:20" x14ac:dyDescent="0.25">
      <c r="A58" s="28">
        <v>34</v>
      </c>
      <c r="B58" s="28" t="s">
        <v>294</v>
      </c>
      <c r="C58" s="185" t="s">
        <v>621</v>
      </c>
      <c r="D58" s="28" t="s">
        <v>553</v>
      </c>
      <c r="E58" s="28" t="s">
        <v>294</v>
      </c>
      <c r="F58" s="28" t="s">
        <v>555</v>
      </c>
      <c r="G58" s="28" t="s">
        <v>294</v>
      </c>
      <c r="H58" s="189" t="s">
        <v>622</v>
      </c>
      <c r="I58" s="28" t="s">
        <v>294</v>
      </c>
      <c r="J58" s="28" t="s">
        <v>557</v>
      </c>
      <c r="K58" s="28" t="s">
        <v>294</v>
      </c>
      <c r="L58" s="28">
        <v>10</v>
      </c>
      <c r="M58" s="28">
        <v>10</v>
      </c>
      <c r="N58" s="190" t="s">
        <v>294</v>
      </c>
      <c r="O58" s="190">
        <v>0.25</v>
      </c>
      <c r="P58" s="28" t="s">
        <v>294</v>
      </c>
      <c r="Q58" s="28" t="s">
        <v>489</v>
      </c>
      <c r="R58" s="28" t="s">
        <v>489</v>
      </c>
      <c r="S58" s="28" t="s">
        <v>489</v>
      </c>
      <c r="T58" s="28" t="s">
        <v>489</v>
      </c>
    </row>
    <row r="60" spans="1:20" x14ac:dyDescent="0.25">
      <c r="A60" s="30"/>
      <c r="B60" s="31"/>
      <c r="C60" s="31"/>
      <c r="D60" s="30"/>
      <c r="E60" s="30"/>
      <c r="F60" s="30"/>
      <c r="G60" s="30"/>
      <c r="H60" s="30"/>
      <c r="I60" s="30"/>
      <c r="J60" s="30"/>
      <c r="K60" s="31"/>
      <c r="L60" s="30"/>
      <c r="M60" s="30"/>
      <c r="N60" s="30"/>
      <c r="O60" s="30"/>
      <c r="P60" s="30"/>
      <c r="Q60" s="30"/>
      <c r="R60" s="30"/>
      <c r="S60" s="30"/>
      <c r="T60" s="30"/>
    </row>
    <row r="61" spans="1:20" x14ac:dyDescent="0.25">
      <c r="A61" s="30"/>
      <c r="B61" s="32" t="s">
        <v>305</v>
      </c>
      <c r="C61" s="32"/>
      <c r="D61" s="32"/>
      <c r="E61" s="32"/>
      <c r="F61" s="32"/>
      <c r="G61" s="32"/>
      <c r="H61" s="32"/>
      <c r="I61" s="32"/>
      <c r="J61" s="32"/>
      <c r="K61" s="32"/>
      <c r="L61" s="32"/>
      <c r="M61" s="32"/>
      <c r="N61" s="32"/>
      <c r="O61" s="32"/>
      <c r="P61" s="32"/>
      <c r="Q61" s="32"/>
      <c r="R61" s="32"/>
      <c r="S61" s="30"/>
      <c r="T61" s="30"/>
    </row>
    <row r="62" spans="1:20" x14ac:dyDescent="0.25">
      <c r="B62" s="274" t="s">
        <v>306</v>
      </c>
      <c r="C62" s="274"/>
      <c r="D62" s="274"/>
      <c r="E62" s="274"/>
      <c r="F62" s="274"/>
      <c r="G62" s="274"/>
      <c r="H62" s="274"/>
      <c r="I62" s="274"/>
      <c r="J62" s="274"/>
      <c r="K62" s="274"/>
      <c r="L62" s="274"/>
      <c r="M62" s="274"/>
      <c r="N62" s="274"/>
      <c r="O62" s="274"/>
      <c r="P62" s="274"/>
      <c r="Q62" s="274"/>
      <c r="R62" s="274"/>
    </row>
    <row r="63" spans="1:20" x14ac:dyDescent="0.25">
      <c r="B63" s="32"/>
      <c r="C63" s="32"/>
      <c r="D63" s="32"/>
      <c r="E63" s="32"/>
      <c r="F63" s="32"/>
      <c r="G63" s="32"/>
      <c r="H63" s="32"/>
      <c r="I63" s="32"/>
      <c r="J63" s="32"/>
      <c r="K63" s="32"/>
      <c r="L63" s="32"/>
      <c r="M63" s="32"/>
      <c r="N63" s="32"/>
      <c r="O63" s="32"/>
      <c r="P63" s="32"/>
      <c r="Q63" s="32"/>
      <c r="R63" s="32"/>
      <c r="S63" s="32"/>
      <c r="T63" s="32"/>
    </row>
    <row r="64" spans="1:20" x14ac:dyDescent="0.25">
      <c r="B64" s="33" t="s">
        <v>307</v>
      </c>
      <c r="C64" s="33"/>
      <c r="D64" s="33"/>
      <c r="E64" s="33"/>
      <c r="F64" s="34"/>
      <c r="G64" s="34"/>
      <c r="H64" s="33"/>
      <c r="I64" s="33"/>
      <c r="J64" s="33"/>
      <c r="K64" s="33"/>
      <c r="L64" s="33"/>
      <c r="M64" s="33"/>
      <c r="N64" s="33"/>
      <c r="O64" s="33"/>
      <c r="P64" s="33"/>
      <c r="Q64" s="33"/>
      <c r="R64" s="33"/>
      <c r="S64" s="35"/>
      <c r="T64" s="35"/>
    </row>
    <row r="65" spans="1:20" x14ac:dyDescent="0.25">
      <c r="B65" s="33" t="s">
        <v>308</v>
      </c>
      <c r="C65" s="33"/>
      <c r="D65" s="33"/>
      <c r="E65" s="33"/>
      <c r="F65" s="34"/>
      <c r="G65" s="34"/>
      <c r="H65" s="33"/>
      <c r="I65" s="33"/>
      <c r="J65" s="33"/>
      <c r="K65" s="33"/>
      <c r="L65" s="33"/>
      <c r="M65" s="33"/>
      <c r="N65" s="33"/>
      <c r="O65" s="33"/>
      <c r="P65" s="33"/>
      <c r="Q65" s="33"/>
      <c r="R65" s="33"/>
    </row>
    <row r="66" spans="1:20" x14ac:dyDescent="0.25">
      <c r="A66" s="34"/>
      <c r="B66" s="33" t="s">
        <v>309</v>
      </c>
      <c r="C66" s="33"/>
      <c r="D66" s="33"/>
      <c r="E66" s="33"/>
      <c r="F66" s="34"/>
      <c r="G66" s="34"/>
      <c r="H66" s="33"/>
      <c r="I66" s="33"/>
      <c r="J66" s="33"/>
      <c r="K66" s="33"/>
      <c r="L66" s="33"/>
      <c r="M66" s="33"/>
      <c r="N66" s="33"/>
      <c r="O66" s="33"/>
      <c r="P66" s="33"/>
      <c r="Q66" s="33"/>
      <c r="R66" s="33"/>
      <c r="S66" s="34"/>
      <c r="T66" s="34"/>
    </row>
    <row r="67" spans="1:20" x14ac:dyDescent="0.25">
      <c r="A67" s="34"/>
      <c r="B67" s="33" t="s">
        <v>310</v>
      </c>
      <c r="C67" s="33"/>
      <c r="D67" s="33"/>
      <c r="E67" s="33"/>
      <c r="F67" s="34"/>
      <c r="G67" s="34"/>
      <c r="H67" s="33"/>
      <c r="I67" s="33"/>
      <c r="J67" s="33"/>
      <c r="K67" s="33"/>
      <c r="L67" s="33"/>
      <c r="M67" s="33"/>
      <c r="N67" s="33"/>
      <c r="O67" s="33"/>
      <c r="P67" s="33"/>
      <c r="Q67" s="33"/>
      <c r="R67" s="33"/>
      <c r="S67" s="33"/>
      <c r="T67" s="33"/>
    </row>
    <row r="68" spans="1:20" x14ac:dyDescent="0.25">
      <c r="A68" s="34"/>
      <c r="B68" s="33" t="s">
        <v>311</v>
      </c>
      <c r="C68" s="33"/>
      <c r="D68" s="33"/>
      <c r="E68" s="33"/>
      <c r="F68" s="34"/>
      <c r="G68" s="34"/>
      <c r="H68" s="33"/>
      <c r="I68" s="33"/>
      <c r="J68" s="33"/>
      <c r="K68" s="33"/>
      <c r="L68" s="33"/>
      <c r="M68" s="33"/>
      <c r="N68" s="33"/>
      <c r="O68" s="33"/>
      <c r="P68" s="33"/>
      <c r="Q68" s="33"/>
      <c r="R68" s="33"/>
      <c r="S68" s="33"/>
      <c r="T68" s="33"/>
    </row>
    <row r="69" spans="1:20" x14ac:dyDescent="0.25">
      <c r="A69" s="34"/>
      <c r="B69" s="33" t="s">
        <v>312</v>
      </c>
      <c r="C69" s="33"/>
      <c r="D69" s="33"/>
      <c r="E69" s="33"/>
      <c r="F69" s="34"/>
      <c r="G69" s="34"/>
      <c r="H69" s="33"/>
      <c r="I69" s="33"/>
      <c r="J69" s="33"/>
      <c r="K69" s="33"/>
      <c r="L69" s="33"/>
      <c r="M69" s="33"/>
      <c r="N69" s="33"/>
      <c r="O69" s="33"/>
      <c r="P69" s="33"/>
      <c r="Q69" s="33"/>
      <c r="R69" s="33"/>
      <c r="S69" s="33"/>
      <c r="T69" s="33"/>
    </row>
    <row r="70" spans="1:20" x14ac:dyDescent="0.25">
      <c r="A70" s="34"/>
      <c r="B70" s="33" t="s">
        <v>313</v>
      </c>
      <c r="C70" s="33"/>
      <c r="D70" s="33"/>
      <c r="E70" s="33"/>
      <c r="F70" s="34"/>
      <c r="G70" s="34"/>
      <c r="H70" s="33"/>
      <c r="I70" s="33"/>
      <c r="J70" s="33"/>
      <c r="K70" s="33"/>
      <c r="L70" s="33"/>
      <c r="M70" s="33"/>
      <c r="N70" s="33"/>
      <c r="O70" s="33"/>
      <c r="P70" s="33"/>
      <c r="Q70" s="33"/>
      <c r="R70" s="33"/>
      <c r="S70" s="33"/>
      <c r="T70" s="33"/>
    </row>
    <row r="71" spans="1:20" x14ac:dyDescent="0.25">
      <c r="A71" s="34"/>
      <c r="B71" s="33" t="s">
        <v>314</v>
      </c>
      <c r="C71" s="33"/>
      <c r="D71" s="33"/>
      <c r="E71" s="33"/>
      <c r="F71" s="34"/>
      <c r="G71" s="34"/>
      <c r="H71" s="33"/>
      <c r="I71" s="33"/>
      <c r="J71" s="33"/>
      <c r="K71" s="33"/>
      <c r="L71" s="33"/>
      <c r="M71" s="33"/>
      <c r="N71" s="33"/>
      <c r="O71" s="33"/>
      <c r="P71" s="33"/>
      <c r="Q71" s="33"/>
      <c r="R71" s="33"/>
      <c r="S71" s="33"/>
      <c r="T71" s="33"/>
    </row>
    <row r="72" spans="1:20" x14ac:dyDescent="0.25">
      <c r="A72" s="34"/>
      <c r="B72" s="33" t="s">
        <v>315</v>
      </c>
      <c r="C72" s="33"/>
      <c r="D72" s="33"/>
      <c r="E72" s="33"/>
      <c r="F72" s="34"/>
      <c r="G72" s="34"/>
      <c r="H72" s="33"/>
      <c r="I72" s="33"/>
      <c r="J72" s="33"/>
      <c r="K72" s="33"/>
      <c r="L72" s="33"/>
      <c r="M72" s="33"/>
      <c r="N72" s="33"/>
      <c r="O72" s="33"/>
      <c r="P72" s="33"/>
      <c r="Q72" s="33"/>
      <c r="R72" s="33"/>
      <c r="S72" s="33"/>
      <c r="T72" s="33"/>
    </row>
    <row r="73" spans="1:20" x14ac:dyDescent="0.25">
      <c r="A73" s="34"/>
      <c r="B73" s="33" t="s">
        <v>316</v>
      </c>
      <c r="C73" s="33"/>
      <c r="D73" s="33"/>
      <c r="E73" s="33"/>
      <c r="F73" s="34"/>
      <c r="G73" s="34"/>
      <c r="H73" s="33"/>
      <c r="I73" s="33"/>
      <c r="J73" s="33"/>
      <c r="K73" s="33"/>
      <c r="L73" s="33"/>
      <c r="M73" s="33"/>
      <c r="N73" s="33"/>
      <c r="O73" s="33"/>
      <c r="P73" s="33"/>
      <c r="Q73" s="33"/>
      <c r="R73" s="33"/>
      <c r="S73" s="33"/>
      <c r="T73" s="33"/>
    </row>
    <row r="74" spans="1:20" x14ac:dyDescent="0.25">
      <c r="A74" s="34"/>
      <c r="B74" s="34"/>
      <c r="C74" s="34"/>
      <c r="D74" s="34"/>
      <c r="E74" s="34"/>
      <c r="F74" s="34"/>
      <c r="G74" s="34"/>
      <c r="H74" s="34"/>
      <c r="I74" s="34"/>
      <c r="J74" s="34"/>
      <c r="K74" s="34"/>
      <c r="L74" s="34"/>
      <c r="M74" s="34"/>
      <c r="N74" s="34"/>
      <c r="O74" s="34"/>
      <c r="P74" s="34"/>
      <c r="Q74" s="33"/>
      <c r="R74" s="33"/>
      <c r="S74" s="33"/>
      <c r="T74" s="33"/>
    </row>
    <row r="75" spans="1:20" x14ac:dyDescent="0.25">
      <c r="A75" s="34"/>
      <c r="B75" s="34"/>
      <c r="C75" s="34"/>
      <c r="D75" s="34"/>
      <c r="E75" s="34"/>
      <c r="F75" s="34"/>
      <c r="G75" s="34"/>
      <c r="H75" s="34"/>
      <c r="I75" s="34"/>
      <c r="J75" s="34"/>
      <c r="K75" s="34"/>
      <c r="L75" s="34"/>
      <c r="M75" s="34"/>
      <c r="N75" s="34"/>
      <c r="O75" s="34"/>
      <c r="P75" s="34"/>
      <c r="Q75" s="33"/>
      <c r="R75" s="33"/>
      <c r="S75" s="33"/>
      <c r="T75" s="33"/>
    </row>
  </sheetData>
  <mergeCells count="29">
    <mergeCell ref="B62:R62"/>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view="pageBreakPreview" topLeftCell="A4" zoomScale="55" zoomScaleNormal="100" zoomScaleSheetLayoutView="55" workbookViewId="0">
      <selection activeCell="A25" sqref="A25:Z85"/>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5" customFormat="1" ht="18.75" customHeight="1" x14ac:dyDescent="0.3">
      <c r="E2" s="19"/>
      <c r="AA2" s="14" t="s">
        <v>6</v>
      </c>
    </row>
    <row r="3" spans="1:27" s="75" customFormat="1" ht="18.75" customHeight="1" x14ac:dyDescent="0.3">
      <c r="E3" s="19"/>
      <c r="AA3" s="14" t="s">
        <v>21</v>
      </c>
    </row>
    <row r="4" spans="1:27" s="75" customFormat="1" x14ac:dyDescent="0.2">
      <c r="E4" s="13"/>
    </row>
    <row r="5" spans="1:27" s="75" customFormat="1" x14ac:dyDescent="0.2">
      <c r="A5" s="239" t="str">
        <f>'1. паспорт местоположение'!$A$5</f>
        <v>Год раскрытия информации: 2025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7" s="75" customFormat="1" x14ac:dyDescent="0.2">
      <c r="A6" s="73"/>
      <c r="B6" s="73"/>
      <c r="C6" s="73"/>
      <c r="D6" s="73"/>
      <c r="E6" s="73"/>
      <c r="F6" s="73"/>
      <c r="G6" s="73"/>
      <c r="H6" s="73"/>
      <c r="I6" s="73"/>
      <c r="J6" s="73"/>
      <c r="K6" s="73"/>
      <c r="L6" s="73"/>
      <c r="M6" s="73"/>
      <c r="N6" s="73"/>
      <c r="O6" s="73"/>
      <c r="P6" s="73"/>
      <c r="Q6" s="73"/>
      <c r="R6" s="73"/>
      <c r="S6" s="73"/>
      <c r="T6" s="73"/>
    </row>
    <row r="7" spans="1:27" s="75" customFormat="1" ht="18.75" x14ac:dyDescent="0.2">
      <c r="E7" s="243" t="s">
        <v>5</v>
      </c>
      <c r="F7" s="243"/>
      <c r="G7" s="243"/>
      <c r="H7" s="243"/>
      <c r="I7" s="243"/>
      <c r="J7" s="243"/>
      <c r="K7" s="243"/>
      <c r="L7" s="243"/>
      <c r="M7" s="243"/>
      <c r="N7" s="243"/>
      <c r="O7" s="243"/>
      <c r="P7" s="243"/>
      <c r="Q7" s="243"/>
      <c r="R7" s="243"/>
      <c r="S7" s="243"/>
      <c r="T7" s="243"/>
      <c r="U7" s="243"/>
      <c r="V7" s="243"/>
      <c r="W7" s="243"/>
      <c r="X7" s="243"/>
      <c r="Y7" s="243"/>
    </row>
    <row r="8" spans="1:27" s="75" customFormat="1" ht="18.75" x14ac:dyDescent="0.2">
      <c r="E8" s="80"/>
      <c r="F8" s="80"/>
      <c r="G8" s="80"/>
      <c r="H8" s="80"/>
      <c r="I8" s="80"/>
      <c r="J8" s="80"/>
      <c r="K8" s="80"/>
      <c r="L8" s="80"/>
      <c r="M8" s="80"/>
      <c r="N8" s="80"/>
      <c r="O8" s="80"/>
      <c r="P8" s="80"/>
      <c r="Q8" s="80"/>
      <c r="R8" s="80"/>
      <c r="S8" s="17"/>
      <c r="T8" s="17"/>
      <c r="U8" s="17"/>
      <c r="V8" s="17"/>
      <c r="W8" s="17"/>
    </row>
    <row r="9" spans="1:27" s="75" customFormat="1" ht="18.75" customHeight="1" x14ac:dyDescent="0.2">
      <c r="E9" s="244" t="s">
        <v>264</v>
      </c>
      <c r="F9" s="244"/>
      <c r="G9" s="244"/>
      <c r="H9" s="244"/>
      <c r="I9" s="244"/>
      <c r="J9" s="244"/>
      <c r="K9" s="244"/>
      <c r="L9" s="244"/>
      <c r="M9" s="244"/>
      <c r="N9" s="244"/>
      <c r="O9" s="244"/>
      <c r="P9" s="244"/>
      <c r="Q9" s="244"/>
      <c r="R9" s="244"/>
      <c r="S9" s="244"/>
      <c r="T9" s="244"/>
      <c r="U9" s="244"/>
      <c r="V9" s="244"/>
      <c r="W9" s="244"/>
      <c r="X9" s="244"/>
      <c r="Y9" s="244"/>
    </row>
    <row r="10" spans="1:27" s="75" customFormat="1" ht="18.75" customHeight="1" x14ac:dyDescent="0.2">
      <c r="E10" s="249" t="s">
        <v>4</v>
      </c>
      <c r="F10" s="249"/>
      <c r="G10" s="249"/>
      <c r="H10" s="249"/>
      <c r="I10" s="249"/>
      <c r="J10" s="249"/>
      <c r="K10" s="249"/>
      <c r="L10" s="249"/>
      <c r="M10" s="249"/>
      <c r="N10" s="249"/>
      <c r="O10" s="249"/>
      <c r="P10" s="249"/>
      <c r="Q10" s="249"/>
      <c r="R10" s="249"/>
      <c r="S10" s="249"/>
      <c r="T10" s="249"/>
      <c r="U10" s="249"/>
      <c r="V10" s="249"/>
      <c r="W10" s="249"/>
      <c r="X10" s="249"/>
      <c r="Y10" s="249"/>
    </row>
    <row r="11" spans="1:27" s="75" customFormat="1" ht="18.75" x14ac:dyDescent="0.2">
      <c r="E11" s="80"/>
      <c r="F11" s="80"/>
      <c r="G11" s="80"/>
      <c r="H11" s="80"/>
      <c r="I11" s="80"/>
      <c r="J11" s="80"/>
      <c r="K11" s="80"/>
      <c r="L11" s="80"/>
      <c r="M11" s="80"/>
      <c r="N11" s="80"/>
      <c r="O11" s="80"/>
      <c r="P11" s="80"/>
      <c r="Q11" s="80"/>
      <c r="R11" s="80"/>
      <c r="S11" s="17"/>
      <c r="T11" s="17"/>
      <c r="U11" s="17"/>
      <c r="V11" s="17"/>
      <c r="W11" s="17"/>
    </row>
    <row r="12" spans="1:27" s="75" customFormat="1" ht="18.75" customHeight="1" x14ac:dyDescent="0.2">
      <c r="E12" s="244" t="str">
        <f>'1. паспорт местоположение'!$A$12</f>
        <v>L_Che367</v>
      </c>
      <c r="F12" s="244"/>
      <c r="G12" s="244"/>
      <c r="H12" s="244"/>
      <c r="I12" s="244"/>
      <c r="J12" s="244"/>
      <c r="K12" s="244"/>
      <c r="L12" s="244"/>
      <c r="M12" s="244"/>
      <c r="N12" s="244"/>
      <c r="O12" s="244"/>
      <c r="P12" s="244"/>
      <c r="Q12" s="244"/>
      <c r="R12" s="244"/>
      <c r="S12" s="244"/>
      <c r="T12" s="244"/>
      <c r="U12" s="244"/>
      <c r="V12" s="244"/>
      <c r="W12" s="244"/>
      <c r="X12" s="244"/>
      <c r="Y12" s="244"/>
    </row>
    <row r="13" spans="1:27" s="75" customFormat="1" ht="18.75" customHeight="1" x14ac:dyDescent="0.2">
      <c r="E13" s="249" t="s">
        <v>3</v>
      </c>
      <c r="F13" s="249"/>
      <c r="G13" s="249"/>
      <c r="H13" s="249"/>
      <c r="I13" s="249"/>
      <c r="J13" s="249"/>
      <c r="K13" s="249"/>
      <c r="L13" s="249"/>
      <c r="M13" s="249"/>
      <c r="N13" s="249"/>
      <c r="O13" s="249"/>
      <c r="P13" s="249"/>
      <c r="Q13" s="249"/>
      <c r="R13" s="249"/>
      <c r="S13" s="249"/>
      <c r="T13" s="249"/>
      <c r="U13" s="249"/>
      <c r="V13" s="249"/>
      <c r="W13" s="249"/>
      <c r="X13" s="249"/>
      <c r="Y13" s="249"/>
    </row>
    <row r="14" spans="1:27" s="78"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50"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F15" s="250"/>
      <c r="G15" s="250"/>
      <c r="H15" s="250"/>
      <c r="I15" s="250"/>
      <c r="J15" s="250"/>
      <c r="K15" s="250"/>
      <c r="L15" s="250"/>
      <c r="M15" s="250"/>
      <c r="N15" s="250"/>
      <c r="O15" s="250"/>
      <c r="P15" s="250"/>
      <c r="Q15" s="250"/>
      <c r="R15" s="250"/>
      <c r="S15" s="250"/>
      <c r="T15" s="250"/>
      <c r="U15" s="250"/>
      <c r="V15" s="250"/>
      <c r="W15" s="250"/>
      <c r="X15" s="250"/>
      <c r="Y15" s="250"/>
    </row>
    <row r="16" spans="1:27" s="25" customFormat="1" ht="15" customHeight="1" x14ac:dyDescent="0.2">
      <c r="E16" s="249" t="s">
        <v>2</v>
      </c>
      <c r="F16" s="249"/>
      <c r="G16" s="249"/>
      <c r="H16" s="249"/>
      <c r="I16" s="249"/>
      <c r="J16" s="249"/>
      <c r="K16" s="249"/>
      <c r="L16" s="249"/>
      <c r="M16" s="249"/>
      <c r="N16" s="249"/>
      <c r="O16" s="249"/>
      <c r="P16" s="249"/>
      <c r="Q16" s="249"/>
      <c r="R16" s="249"/>
      <c r="S16" s="249"/>
      <c r="T16" s="249"/>
      <c r="U16" s="249"/>
      <c r="V16" s="249"/>
      <c r="W16" s="249"/>
      <c r="X16" s="249"/>
      <c r="Y16" s="249"/>
    </row>
    <row r="17" spans="1:27" s="2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25"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244</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26" customFormat="1" ht="21" customHeight="1" x14ac:dyDescent="0.25"/>
    <row r="21" spans="1:27" ht="15.75" customHeight="1" x14ac:dyDescent="0.25">
      <c r="A21" s="270" t="s">
        <v>1</v>
      </c>
      <c r="B21" s="266" t="s">
        <v>249</v>
      </c>
      <c r="C21" s="267"/>
      <c r="D21" s="266" t="s">
        <v>251</v>
      </c>
      <c r="E21" s="267"/>
      <c r="F21" s="259" t="s">
        <v>29</v>
      </c>
      <c r="G21" s="260"/>
      <c r="H21" s="260"/>
      <c r="I21" s="275"/>
      <c r="J21" s="270" t="s">
        <v>252</v>
      </c>
      <c r="K21" s="266" t="s">
        <v>253</v>
      </c>
      <c r="L21" s="267"/>
      <c r="M21" s="266" t="s">
        <v>254</v>
      </c>
      <c r="N21" s="267"/>
      <c r="O21" s="266" t="s">
        <v>243</v>
      </c>
      <c r="P21" s="267"/>
      <c r="Q21" s="266" t="s">
        <v>41</v>
      </c>
      <c r="R21" s="267"/>
      <c r="S21" s="270" t="s">
        <v>40</v>
      </c>
      <c r="T21" s="270" t="s">
        <v>255</v>
      </c>
      <c r="U21" s="270" t="s">
        <v>250</v>
      </c>
      <c r="V21" s="266" t="s">
        <v>39</v>
      </c>
      <c r="W21" s="267"/>
      <c r="X21" s="259" t="s">
        <v>36</v>
      </c>
      <c r="Y21" s="260"/>
      <c r="Z21" s="259" t="s">
        <v>35</v>
      </c>
      <c r="AA21" s="260"/>
    </row>
    <row r="22" spans="1:27" ht="216" customHeight="1" x14ac:dyDescent="0.25">
      <c r="A22" s="271"/>
      <c r="B22" s="268"/>
      <c r="C22" s="269"/>
      <c r="D22" s="268"/>
      <c r="E22" s="269"/>
      <c r="F22" s="259" t="s">
        <v>38</v>
      </c>
      <c r="G22" s="275"/>
      <c r="H22" s="259" t="s">
        <v>37</v>
      </c>
      <c r="I22" s="275"/>
      <c r="J22" s="272"/>
      <c r="K22" s="268"/>
      <c r="L22" s="269"/>
      <c r="M22" s="268"/>
      <c r="N22" s="269"/>
      <c r="O22" s="268"/>
      <c r="P22" s="269"/>
      <c r="Q22" s="268"/>
      <c r="R22" s="269"/>
      <c r="S22" s="272"/>
      <c r="T22" s="272"/>
      <c r="U22" s="272"/>
      <c r="V22" s="268"/>
      <c r="W22" s="269"/>
      <c r="X22" s="27" t="s">
        <v>34</v>
      </c>
      <c r="Y22" s="27" t="s">
        <v>242</v>
      </c>
      <c r="Z22" s="27" t="s">
        <v>33</v>
      </c>
      <c r="AA22" s="27" t="s">
        <v>32</v>
      </c>
    </row>
    <row r="23" spans="1:27" ht="60" customHeight="1" x14ac:dyDescent="0.25">
      <c r="A23" s="272"/>
      <c r="B23" s="77" t="s">
        <v>30</v>
      </c>
      <c r="C23" s="77" t="s">
        <v>31</v>
      </c>
      <c r="D23" s="77" t="s">
        <v>30</v>
      </c>
      <c r="E23" s="77" t="s">
        <v>31</v>
      </c>
      <c r="F23" s="77" t="s">
        <v>30</v>
      </c>
      <c r="G23" s="77" t="s">
        <v>31</v>
      </c>
      <c r="H23" s="77" t="s">
        <v>30</v>
      </c>
      <c r="I23" s="77" t="s">
        <v>31</v>
      </c>
      <c r="J23" s="77" t="s">
        <v>30</v>
      </c>
      <c r="K23" s="77" t="s">
        <v>30</v>
      </c>
      <c r="L23" s="77" t="s">
        <v>31</v>
      </c>
      <c r="M23" s="77" t="s">
        <v>30</v>
      </c>
      <c r="N23" s="77" t="s">
        <v>31</v>
      </c>
      <c r="O23" s="77" t="s">
        <v>30</v>
      </c>
      <c r="P23" s="77" t="s">
        <v>31</v>
      </c>
      <c r="Q23" s="77" t="s">
        <v>30</v>
      </c>
      <c r="R23" s="77" t="s">
        <v>31</v>
      </c>
      <c r="S23" s="77" t="s">
        <v>30</v>
      </c>
      <c r="T23" s="77" t="s">
        <v>30</v>
      </c>
      <c r="U23" s="77" t="s">
        <v>30</v>
      </c>
      <c r="V23" s="77" t="s">
        <v>30</v>
      </c>
      <c r="W23" s="77" t="s">
        <v>31</v>
      </c>
      <c r="X23" s="77" t="s">
        <v>30</v>
      </c>
      <c r="Y23" s="77" t="s">
        <v>30</v>
      </c>
      <c r="Z23" s="27" t="s">
        <v>30</v>
      </c>
      <c r="AA23" s="27" t="s">
        <v>30</v>
      </c>
    </row>
    <row r="24" spans="1:27"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19</v>
      </c>
      <c r="R24" s="133">
        <v>20</v>
      </c>
      <c r="S24" s="133">
        <v>21</v>
      </c>
      <c r="T24" s="133">
        <v>22</v>
      </c>
      <c r="U24" s="133">
        <v>23</v>
      </c>
      <c r="V24" s="133">
        <v>24</v>
      </c>
      <c r="W24" s="133">
        <v>25</v>
      </c>
      <c r="X24" s="133">
        <v>26</v>
      </c>
      <c r="Y24" s="133">
        <v>27</v>
      </c>
      <c r="Z24" s="133">
        <v>28</v>
      </c>
      <c r="AA24" s="133">
        <v>29</v>
      </c>
    </row>
    <row r="25" spans="1:27" s="26" customFormat="1" ht="60.75" customHeight="1" x14ac:dyDescent="0.25">
      <c r="A25" s="184">
        <v>1</v>
      </c>
      <c r="B25" s="185" t="s">
        <v>484</v>
      </c>
      <c r="C25" s="185" t="s">
        <v>484</v>
      </c>
      <c r="D25" s="185" t="s">
        <v>484</v>
      </c>
      <c r="E25" s="185" t="s">
        <v>484</v>
      </c>
      <c r="F25" s="29">
        <v>0.4</v>
      </c>
      <c r="G25" s="29">
        <v>0.4</v>
      </c>
      <c r="H25" s="29">
        <v>0.4</v>
      </c>
      <c r="I25" s="29">
        <v>0.4</v>
      </c>
      <c r="J25" s="29" t="s">
        <v>294</v>
      </c>
      <c r="K25" s="29">
        <v>1</v>
      </c>
      <c r="L25" s="29">
        <v>1</v>
      </c>
      <c r="M25" s="29" t="s">
        <v>485</v>
      </c>
      <c r="N25" s="29" t="s">
        <v>486</v>
      </c>
      <c r="O25" s="29" t="s">
        <v>487</v>
      </c>
      <c r="P25" s="29" t="s">
        <v>487</v>
      </c>
      <c r="Q25" s="186">
        <v>1.1000000000000001</v>
      </c>
      <c r="R25" s="186">
        <v>1.1000000000000001</v>
      </c>
      <c r="S25" s="29">
        <v>2021</v>
      </c>
      <c r="T25" s="29" t="s">
        <v>294</v>
      </c>
      <c r="U25" s="29" t="s">
        <v>294</v>
      </c>
      <c r="V25" s="29" t="s">
        <v>488</v>
      </c>
      <c r="W25" s="29" t="s">
        <v>488</v>
      </c>
      <c r="X25" s="29" t="s">
        <v>489</v>
      </c>
      <c r="Y25" s="29" t="s">
        <v>489</v>
      </c>
      <c r="Z25" s="29" t="s">
        <v>489</v>
      </c>
      <c r="AA25" s="29" t="s">
        <v>489</v>
      </c>
    </row>
    <row r="26" spans="1:27" ht="47.25" x14ac:dyDescent="0.25">
      <c r="A26" s="184">
        <v>2</v>
      </c>
      <c r="B26" s="185" t="s">
        <v>490</v>
      </c>
      <c r="C26" s="185" t="s">
        <v>490</v>
      </c>
      <c r="D26" s="185" t="s">
        <v>490</v>
      </c>
      <c r="E26" s="185" t="s">
        <v>490</v>
      </c>
      <c r="F26" s="29">
        <v>0.4</v>
      </c>
      <c r="G26" s="29">
        <v>0.4</v>
      </c>
      <c r="H26" s="29">
        <v>0.4</v>
      </c>
      <c r="I26" s="29">
        <v>0.4</v>
      </c>
      <c r="J26" s="29" t="s">
        <v>294</v>
      </c>
      <c r="K26" s="29">
        <v>1</v>
      </c>
      <c r="L26" s="29">
        <v>1</v>
      </c>
      <c r="M26" s="29" t="s">
        <v>485</v>
      </c>
      <c r="N26" s="29" t="s">
        <v>486</v>
      </c>
      <c r="O26" s="29" t="s">
        <v>487</v>
      </c>
      <c r="P26" s="29" t="s">
        <v>487</v>
      </c>
      <c r="Q26" s="186">
        <v>1.48</v>
      </c>
      <c r="R26" s="186">
        <v>1.48</v>
      </c>
      <c r="S26" s="29">
        <v>2021</v>
      </c>
      <c r="T26" s="29" t="s">
        <v>294</v>
      </c>
      <c r="U26" s="29" t="s">
        <v>294</v>
      </c>
      <c r="V26" s="29" t="s">
        <v>488</v>
      </c>
      <c r="W26" s="29" t="s">
        <v>488</v>
      </c>
      <c r="X26" s="29" t="s">
        <v>489</v>
      </c>
      <c r="Y26" s="29" t="s">
        <v>489</v>
      </c>
      <c r="Z26" s="29" t="s">
        <v>489</v>
      </c>
      <c r="AA26" s="29" t="s">
        <v>489</v>
      </c>
    </row>
    <row r="27" spans="1:27" s="30" customFormat="1" ht="47.25" x14ac:dyDescent="0.25">
      <c r="A27" s="184">
        <v>3</v>
      </c>
      <c r="B27" s="185" t="s">
        <v>491</v>
      </c>
      <c r="C27" s="185" t="s">
        <v>491</v>
      </c>
      <c r="D27" s="185" t="s">
        <v>491</v>
      </c>
      <c r="E27" s="185" t="s">
        <v>491</v>
      </c>
      <c r="F27" s="29">
        <v>0.4</v>
      </c>
      <c r="G27" s="29">
        <v>0.4</v>
      </c>
      <c r="H27" s="29">
        <v>0.4</v>
      </c>
      <c r="I27" s="29">
        <v>0.4</v>
      </c>
      <c r="J27" s="29" t="s">
        <v>294</v>
      </c>
      <c r="K27" s="29">
        <v>1</v>
      </c>
      <c r="L27" s="29">
        <v>1</v>
      </c>
      <c r="M27" s="29" t="s">
        <v>485</v>
      </c>
      <c r="N27" s="29" t="s">
        <v>486</v>
      </c>
      <c r="O27" s="29" t="s">
        <v>487</v>
      </c>
      <c r="P27" s="29" t="s">
        <v>487</v>
      </c>
      <c r="Q27" s="186">
        <v>1.425</v>
      </c>
      <c r="R27" s="186">
        <v>1.425</v>
      </c>
      <c r="S27" s="29">
        <v>2021</v>
      </c>
      <c r="T27" s="29" t="s">
        <v>294</v>
      </c>
      <c r="U27" s="29" t="s">
        <v>294</v>
      </c>
      <c r="V27" s="29" t="s">
        <v>488</v>
      </c>
      <c r="W27" s="29" t="s">
        <v>488</v>
      </c>
      <c r="X27" s="29" t="s">
        <v>489</v>
      </c>
      <c r="Y27" s="29" t="s">
        <v>489</v>
      </c>
      <c r="Z27" s="29" t="s">
        <v>489</v>
      </c>
      <c r="AA27" s="29" t="s">
        <v>489</v>
      </c>
    </row>
    <row r="28" spans="1:27" s="30" customFormat="1" ht="47.25" x14ac:dyDescent="0.25">
      <c r="A28" s="184">
        <v>4</v>
      </c>
      <c r="B28" s="185" t="s">
        <v>492</v>
      </c>
      <c r="C28" s="185" t="s">
        <v>492</v>
      </c>
      <c r="D28" s="185" t="s">
        <v>492</v>
      </c>
      <c r="E28" s="185" t="s">
        <v>492</v>
      </c>
      <c r="F28" s="29">
        <v>0.4</v>
      </c>
      <c r="G28" s="29">
        <v>0.4</v>
      </c>
      <c r="H28" s="29">
        <v>0.4</v>
      </c>
      <c r="I28" s="29">
        <v>0.4</v>
      </c>
      <c r="J28" s="29" t="s">
        <v>294</v>
      </c>
      <c r="K28" s="29">
        <v>1</v>
      </c>
      <c r="L28" s="29">
        <v>1</v>
      </c>
      <c r="M28" s="29" t="s">
        <v>485</v>
      </c>
      <c r="N28" s="29" t="s">
        <v>486</v>
      </c>
      <c r="O28" s="29" t="s">
        <v>487</v>
      </c>
      <c r="P28" s="29" t="s">
        <v>487</v>
      </c>
      <c r="Q28" s="186">
        <v>0.78</v>
      </c>
      <c r="R28" s="186">
        <v>0.78</v>
      </c>
      <c r="S28" s="29">
        <v>2021</v>
      </c>
      <c r="T28" s="29" t="s">
        <v>294</v>
      </c>
      <c r="U28" s="29" t="s">
        <v>294</v>
      </c>
      <c r="V28" s="29" t="s">
        <v>488</v>
      </c>
      <c r="W28" s="29" t="s">
        <v>488</v>
      </c>
      <c r="X28" s="29" t="s">
        <v>489</v>
      </c>
      <c r="Y28" s="29" t="s">
        <v>489</v>
      </c>
      <c r="Z28" s="29" t="s">
        <v>489</v>
      </c>
      <c r="AA28" s="29" t="s">
        <v>489</v>
      </c>
    </row>
    <row r="29" spans="1:27" ht="47.25" x14ac:dyDescent="0.25">
      <c r="A29" s="184">
        <v>5</v>
      </c>
      <c r="B29" s="185" t="s">
        <v>493</v>
      </c>
      <c r="C29" s="185" t="s">
        <v>493</v>
      </c>
      <c r="D29" s="185" t="s">
        <v>493</v>
      </c>
      <c r="E29" s="185" t="s">
        <v>493</v>
      </c>
      <c r="F29" s="29">
        <v>0.4</v>
      </c>
      <c r="G29" s="29">
        <v>0.4</v>
      </c>
      <c r="H29" s="29">
        <v>0.4</v>
      </c>
      <c r="I29" s="29">
        <v>0.4</v>
      </c>
      <c r="J29" s="29" t="s">
        <v>294</v>
      </c>
      <c r="K29" s="29">
        <v>1</v>
      </c>
      <c r="L29" s="29">
        <v>1</v>
      </c>
      <c r="M29" s="29" t="s">
        <v>485</v>
      </c>
      <c r="N29" s="29" t="s">
        <v>486</v>
      </c>
      <c r="O29" s="29" t="s">
        <v>487</v>
      </c>
      <c r="P29" s="29" t="s">
        <v>487</v>
      </c>
      <c r="Q29" s="186">
        <v>1.0549999999999999</v>
      </c>
      <c r="R29" s="186">
        <v>1.0549999999999999</v>
      </c>
      <c r="S29" s="29">
        <v>2021</v>
      </c>
      <c r="T29" s="29" t="s">
        <v>294</v>
      </c>
      <c r="U29" s="29" t="s">
        <v>294</v>
      </c>
      <c r="V29" s="29" t="s">
        <v>488</v>
      </c>
      <c r="W29" s="29" t="s">
        <v>488</v>
      </c>
      <c r="X29" s="29" t="s">
        <v>489</v>
      </c>
      <c r="Y29" s="29" t="s">
        <v>489</v>
      </c>
      <c r="Z29" s="29" t="s">
        <v>489</v>
      </c>
      <c r="AA29" s="29" t="s">
        <v>489</v>
      </c>
    </row>
    <row r="30" spans="1:27" ht="47.25" x14ac:dyDescent="0.25">
      <c r="A30" s="184">
        <v>6</v>
      </c>
      <c r="B30" s="185" t="s">
        <v>494</v>
      </c>
      <c r="C30" s="185" t="s">
        <v>494</v>
      </c>
      <c r="D30" s="185" t="s">
        <v>494</v>
      </c>
      <c r="E30" s="185" t="s">
        <v>494</v>
      </c>
      <c r="F30" s="29">
        <v>0.4</v>
      </c>
      <c r="G30" s="29">
        <v>0.4</v>
      </c>
      <c r="H30" s="29">
        <v>0.4</v>
      </c>
      <c r="I30" s="29">
        <v>0.4</v>
      </c>
      <c r="J30" s="29" t="s">
        <v>294</v>
      </c>
      <c r="K30" s="29">
        <v>1</v>
      </c>
      <c r="L30" s="29">
        <v>1</v>
      </c>
      <c r="M30" s="29" t="s">
        <v>485</v>
      </c>
      <c r="N30" s="29" t="s">
        <v>486</v>
      </c>
      <c r="O30" s="29" t="s">
        <v>487</v>
      </c>
      <c r="P30" s="29" t="s">
        <v>487</v>
      </c>
      <c r="Q30" s="186">
        <v>0.629</v>
      </c>
      <c r="R30" s="186">
        <v>0.629</v>
      </c>
      <c r="S30" s="29">
        <v>2021</v>
      </c>
      <c r="T30" s="29" t="s">
        <v>294</v>
      </c>
      <c r="U30" s="29" t="s">
        <v>294</v>
      </c>
      <c r="V30" s="29" t="s">
        <v>488</v>
      </c>
      <c r="W30" s="29" t="s">
        <v>488</v>
      </c>
      <c r="X30" s="29" t="s">
        <v>489</v>
      </c>
      <c r="Y30" s="29" t="s">
        <v>489</v>
      </c>
      <c r="Z30" s="29" t="s">
        <v>489</v>
      </c>
      <c r="AA30" s="29" t="s">
        <v>489</v>
      </c>
    </row>
    <row r="31" spans="1:27" ht="47.25" x14ac:dyDescent="0.25">
      <c r="A31" s="184">
        <v>7</v>
      </c>
      <c r="B31" s="185" t="s">
        <v>495</v>
      </c>
      <c r="C31" s="185" t="s">
        <v>495</v>
      </c>
      <c r="D31" s="185" t="s">
        <v>495</v>
      </c>
      <c r="E31" s="185" t="s">
        <v>495</v>
      </c>
      <c r="F31" s="29">
        <v>0.4</v>
      </c>
      <c r="G31" s="29">
        <v>0.4</v>
      </c>
      <c r="H31" s="29">
        <v>0.4</v>
      </c>
      <c r="I31" s="29">
        <v>0.4</v>
      </c>
      <c r="J31" s="29" t="s">
        <v>294</v>
      </c>
      <c r="K31" s="29">
        <v>1</v>
      </c>
      <c r="L31" s="29">
        <v>1</v>
      </c>
      <c r="M31" s="29" t="s">
        <v>485</v>
      </c>
      <c r="N31" s="29" t="s">
        <v>486</v>
      </c>
      <c r="O31" s="29" t="s">
        <v>487</v>
      </c>
      <c r="P31" s="29" t="s">
        <v>487</v>
      </c>
      <c r="Q31" s="186">
        <v>1.5149999999999999</v>
      </c>
      <c r="R31" s="186">
        <v>1.5149999999999999</v>
      </c>
      <c r="S31" s="29">
        <v>2021</v>
      </c>
      <c r="T31" s="29" t="s">
        <v>294</v>
      </c>
      <c r="U31" s="29" t="s">
        <v>294</v>
      </c>
      <c r="V31" s="29" t="s">
        <v>488</v>
      </c>
      <c r="W31" s="29" t="s">
        <v>488</v>
      </c>
      <c r="X31" s="29" t="s">
        <v>489</v>
      </c>
      <c r="Y31" s="29" t="s">
        <v>489</v>
      </c>
      <c r="Z31" s="29" t="s">
        <v>489</v>
      </c>
      <c r="AA31" s="29" t="s">
        <v>489</v>
      </c>
    </row>
    <row r="32" spans="1:27" ht="47.25" x14ac:dyDescent="0.25">
      <c r="A32" s="184">
        <v>8</v>
      </c>
      <c r="B32" s="185" t="s">
        <v>496</v>
      </c>
      <c r="C32" s="185" t="s">
        <v>496</v>
      </c>
      <c r="D32" s="185" t="s">
        <v>496</v>
      </c>
      <c r="E32" s="185" t="s">
        <v>496</v>
      </c>
      <c r="F32" s="29">
        <v>0.4</v>
      </c>
      <c r="G32" s="29">
        <v>0.4</v>
      </c>
      <c r="H32" s="29">
        <v>0.4</v>
      </c>
      <c r="I32" s="29">
        <v>0.4</v>
      </c>
      <c r="J32" s="29" t="s">
        <v>294</v>
      </c>
      <c r="K32" s="29">
        <v>1</v>
      </c>
      <c r="L32" s="29">
        <v>1</v>
      </c>
      <c r="M32" s="29" t="s">
        <v>485</v>
      </c>
      <c r="N32" s="29" t="s">
        <v>486</v>
      </c>
      <c r="O32" s="29" t="s">
        <v>487</v>
      </c>
      <c r="P32" s="29" t="s">
        <v>487</v>
      </c>
      <c r="Q32" s="186">
        <v>2.6779999999999999</v>
      </c>
      <c r="R32" s="186">
        <v>2.6779999999999999</v>
      </c>
      <c r="S32" s="29">
        <v>2021</v>
      </c>
      <c r="T32" s="29" t="s">
        <v>294</v>
      </c>
      <c r="U32" s="29" t="s">
        <v>294</v>
      </c>
      <c r="V32" s="29" t="s">
        <v>488</v>
      </c>
      <c r="W32" s="29" t="s">
        <v>488</v>
      </c>
      <c r="X32" s="29" t="s">
        <v>489</v>
      </c>
      <c r="Y32" s="29" t="s">
        <v>489</v>
      </c>
      <c r="Z32" s="29" t="s">
        <v>489</v>
      </c>
      <c r="AA32" s="29" t="s">
        <v>489</v>
      </c>
    </row>
    <row r="33" spans="1:27" ht="47.25" x14ac:dyDescent="0.25">
      <c r="A33" s="184">
        <v>9</v>
      </c>
      <c r="B33" s="185" t="s">
        <v>497</v>
      </c>
      <c r="C33" s="185" t="s">
        <v>497</v>
      </c>
      <c r="D33" s="185" t="s">
        <v>497</v>
      </c>
      <c r="E33" s="185" t="s">
        <v>497</v>
      </c>
      <c r="F33" s="29">
        <v>0.4</v>
      </c>
      <c r="G33" s="29">
        <v>0.4</v>
      </c>
      <c r="H33" s="29">
        <v>0.4</v>
      </c>
      <c r="I33" s="29">
        <v>0.4</v>
      </c>
      <c r="J33" s="29" t="s">
        <v>294</v>
      </c>
      <c r="K33" s="29">
        <v>1</v>
      </c>
      <c r="L33" s="29">
        <v>1</v>
      </c>
      <c r="M33" s="29" t="s">
        <v>485</v>
      </c>
      <c r="N33" s="29" t="s">
        <v>486</v>
      </c>
      <c r="O33" s="29" t="s">
        <v>487</v>
      </c>
      <c r="P33" s="29" t="s">
        <v>487</v>
      </c>
      <c r="Q33" s="186">
        <v>0.93400000000000005</v>
      </c>
      <c r="R33" s="186">
        <v>0.93400000000000005</v>
      </c>
      <c r="S33" s="29">
        <v>2021</v>
      </c>
      <c r="T33" s="29" t="s">
        <v>294</v>
      </c>
      <c r="U33" s="29" t="s">
        <v>294</v>
      </c>
      <c r="V33" s="29" t="s">
        <v>488</v>
      </c>
      <c r="W33" s="29" t="s">
        <v>488</v>
      </c>
      <c r="X33" s="29" t="s">
        <v>489</v>
      </c>
      <c r="Y33" s="29" t="s">
        <v>489</v>
      </c>
      <c r="Z33" s="29" t="s">
        <v>489</v>
      </c>
      <c r="AA33" s="29" t="s">
        <v>489</v>
      </c>
    </row>
    <row r="34" spans="1:27" ht="47.25" x14ac:dyDescent="0.25">
      <c r="A34" s="184">
        <v>10</v>
      </c>
      <c r="B34" s="185" t="s">
        <v>498</v>
      </c>
      <c r="C34" s="185" t="s">
        <v>498</v>
      </c>
      <c r="D34" s="185" t="s">
        <v>498</v>
      </c>
      <c r="E34" s="185" t="s">
        <v>498</v>
      </c>
      <c r="F34" s="29">
        <v>0.4</v>
      </c>
      <c r="G34" s="29">
        <v>0.4</v>
      </c>
      <c r="H34" s="29">
        <v>0.4</v>
      </c>
      <c r="I34" s="29">
        <v>0.4</v>
      </c>
      <c r="J34" s="29" t="s">
        <v>294</v>
      </c>
      <c r="K34" s="29">
        <v>1</v>
      </c>
      <c r="L34" s="29">
        <v>1</v>
      </c>
      <c r="M34" s="29" t="s">
        <v>485</v>
      </c>
      <c r="N34" s="29" t="s">
        <v>486</v>
      </c>
      <c r="O34" s="29" t="s">
        <v>487</v>
      </c>
      <c r="P34" s="29" t="s">
        <v>487</v>
      </c>
      <c r="Q34" s="186">
        <v>1.1950000000000001</v>
      </c>
      <c r="R34" s="186">
        <v>1.1950000000000001</v>
      </c>
      <c r="S34" s="29">
        <v>2021</v>
      </c>
      <c r="T34" s="29" t="s">
        <v>294</v>
      </c>
      <c r="U34" s="29" t="s">
        <v>294</v>
      </c>
      <c r="V34" s="29" t="s">
        <v>488</v>
      </c>
      <c r="W34" s="29" t="s">
        <v>488</v>
      </c>
      <c r="X34" s="29" t="s">
        <v>489</v>
      </c>
      <c r="Y34" s="29" t="s">
        <v>489</v>
      </c>
      <c r="Z34" s="29" t="s">
        <v>489</v>
      </c>
      <c r="AA34" s="29" t="s">
        <v>489</v>
      </c>
    </row>
    <row r="35" spans="1:27" ht="47.25" x14ac:dyDescent="0.25">
      <c r="A35" s="184">
        <v>11</v>
      </c>
      <c r="B35" s="185" t="s">
        <v>499</v>
      </c>
      <c r="C35" s="185" t="s">
        <v>499</v>
      </c>
      <c r="D35" s="185" t="s">
        <v>499</v>
      </c>
      <c r="E35" s="185" t="s">
        <v>499</v>
      </c>
      <c r="F35" s="29">
        <v>0.4</v>
      </c>
      <c r="G35" s="29">
        <v>0.4</v>
      </c>
      <c r="H35" s="29">
        <v>0.4</v>
      </c>
      <c r="I35" s="29">
        <v>0.4</v>
      </c>
      <c r="J35" s="29" t="s">
        <v>294</v>
      </c>
      <c r="K35" s="29">
        <v>1</v>
      </c>
      <c r="L35" s="29">
        <v>1</v>
      </c>
      <c r="M35" s="29" t="s">
        <v>485</v>
      </c>
      <c r="N35" s="29" t="s">
        <v>486</v>
      </c>
      <c r="O35" s="29" t="s">
        <v>487</v>
      </c>
      <c r="P35" s="29" t="s">
        <v>487</v>
      </c>
      <c r="Q35" s="186">
        <v>1.59</v>
      </c>
      <c r="R35" s="186">
        <v>1.59</v>
      </c>
      <c r="S35" s="29">
        <v>2021</v>
      </c>
      <c r="T35" s="29" t="s">
        <v>294</v>
      </c>
      <c r="U35" s="29" t="s">
        <v>294</v>
      </c>
      <c r="V35" s="29" t="s">
        <v>488</v>
      </c>
      <c r="W35" s="29" t="s">
        <v>488</v>
      </c>
      <c r="X35" s="29" t="s">
        <v>489</v>
      </c>
      <c r="Y35" s="29" t="s">
        <v>489</v>
      </c>
      <c r="Z35" s="29" t="s">
        <v>489</v>
      </c>
      <c r="AA35" s="29" t="s">
        <v>489</v>
      </c>
    </row>
    <row r="36" spans="1:27" ht="47.25" x14ac:dyDescent="0.25">
      <c r="A36" s="184">
        <v>12</v>
      </c>
      <c r="B36" s="185" t="s">
        <v>500</v>
      </c>
      <c r="C36" s="185" t="s">
        <v>500</v>
      </c>
      <c r="D36" s="185" t="s">
        <v>500</v>
      </c>
      <c r="E36" s="185" t="s">
        <v>500</v>
      </c>
      <c r="F36" s="29">
        <v>0.4</v>
      </c>
      <c r="G36" s="29">
        <v>0.4</v>
      </c>
      <c r="H36" s="29">
        <v>0.4</v>
      </c>
      <c r="I36" s="29">
        <v>0.4</v>
      </c>
      <c r="J36" s="29" t="s">
        <v>294</v>
      </c>
      <c r="K36" s="29">
        <v>1</v>
      </c>
      <c r="L36" s="29">
        <v>1</v>
      </c>
      <c r="M36" s="29" t="s">
        <v>485</v>
      </c>
      <c r="N36" s="29" t="s">
        <v>486</v>
      </c>
      <c r="O36" s="29" t="s">
        <v>487</v>
      </c>
      <c r="P36" s="29" t="s">
        <v>487</v>
      </c>
      <c r="Q36" s="186">
        <v>0.85099999999999998</v>
      </c>
      <c r="R36" s="186">
        <v>0.85099999999999998</v>
      </c>
      <c r="S36" s="29">
        <v>2021</v>
      </c>
      <c r="T36" s="29" t="s">
        <v>294</v>
      </c>
      <c r="U36" s="29" t="s">
        <v>294</v>
      </c>
      <c r="V36" s="29" t="s">
        <v>488</v>
      </c>
      <c r="W36" s="29" t="s">
        <v>488</v>
      </c>
      <c r="X36" s="29" t="s">
        <v>489</v>
      </c>
      <c r="Y36" s="29" t="s">
        <v>489</v>
      </c>
      <c r="Z36" s="29" t="s">
        <v>489</v>
      </c>
      <c r="AA36" s="29" t="s">
        <v>489</v>
      </c>
    </row>
    <row r="37" spans="1:27" ht="47.25" x14ac:dyDescent="0.25">
      <c r="A37" s="184">
        <v>13</v>
      </c>
      <c r="B37" s="185" t="s">
        <v>501</v>
      </c>
      <c r="C37" s="185" t="s">
        <v>501</v>
      </c>
      <c r="D37" s="185" t="s">
        <v>501</v>
      </c>
      <c r="E37" s="185" t="s">
        <v>501</v>
      </c>
      <c r="F37" s="29">
        <v>0.4</v>
      </c>
      <c r="G37" s="29">
        <v>0.4</v>
      </c>
      <c r="H37" s="29">
        <v>0.4</v>
      </c>
      <c r="I37" s="29">
        <v>0.4</v>
      </c>
      <c r="J37" s="29" t="s">
        <v>294</v>
      </c>
      <c r="K37" s="29">
        <v>1</v>
      </c>
      <c r="L37" s="29">
        <v>1</v>
      </c>
      <c r="M37" s="29" t="s">
        <v>485</v>
      </c>
      <c r="N37" s="29" t="s">
        <v>486</v>
      </c>
      <c r="O37" s="29" t="s">
        <v>487</v>
      </c>
      <c r="P37" s="29" t="s">
        <v>487</v>
      </c>
      <c r="Q37" s="186">
        <v>0.86</v>
      </c>
      <c r="R37" s="186">
        <v>0.86</v>
      </c>
      <c r="S37" s="29">
        <v>2021</v>
      </c>
      <c r="T37" s="29" t="s">
        <v>294</v>
      </c>
      <c r="U37" s="29" t="s">
        <v>294</v>
      </c>
      <c r="V37" s="29" t="s">
        <v>488</v>
      </c>
      <c r="W37" s="29" t="s">
        <v>488</v>
      </c>
      <c r="X37" s="29" t="s">
        <v>489</v>
      </c>
      <c r="Y37" s="29" t="s">
        <v>489</v>
      </c>
      <c r="Z37" s="29" t="s">
        <v>489</v>
      </c>
      <c r="AA37" s="29" t="s">
        <v>489</v>
      </c>
    </row>
    <row r="38" spans="1:27" ht="47.25" x14ac:dyDescent="0.25">
      <c r="A38" s="184">
        <v>14</v>
      </c>
      <c r="B38" s="185" t="s">
        <v>502</v>
      </c>
      <c r="C38" s="185" t="s">
        <v>502</v>
      </c>
      <c r="D38" s="185" t="s">
        <v>502</v>
      </c>
      <c r="E38" s="185" t="s">
        <v>502</v>
      </c>
      <c r="F38" s="29">
        <v>0.4</v>
      </c>
      <c r="G38" s="29">
        <v>0.4</v>
      </c>
      <c r="H38" s="29">
        <v>0.4</v>
      </c>
      <c r="I38" s="29">
        <v>0.4</v>
      </c>
      <c r="J38" s="29" t="s">
        <v>294</v>
      </c>
      <c r="K38" s="29">
        <v>1</v>
      </c>
      <c r="L38" s="29">
        <v>1</v>
      </c>
      <c r="M38" s="29" t="s">
        <v>485</v>
      </c>
      <c r="N38" s="29" t="s">
        <v>486</v>
      </c>
      <c r="O38" s="29" t="s">
        <v>487</v>
      </c>
      <c r="P38" s="29" t="s">
        <v>487</v>
      </c>
      <c r="Q38" s="186">
        <v>1.6339999999999999</v>
      </c>
      <c r="R38" s="186">
        <v>1.6339999999999999</v>
      </c>
      <c r="S38" s="29">
        <v>2021</v>
      </c>
      <c r="T38" s="29" t="s">
        <v>294</v>
      </c>
      <c r="U38" s="29" t="s">
        <v>294</v>
      </c>
      <c r="V38" s="29" t="s">
        <v>488</v>
      </c>
      <c r="W38" s="29" t="s">
        <v>488</v>
      </c>
      <c r="X38" s="29" t="s">
        <v>489</v>
      </c>
      <c r="Y38" s="29" t="s">
        <v>489</v>
      </c>
      <c r="Z38" s="29" t="s">
        <v>489</v>
      </c>
      <c r="AA38" s="29" t="s">
        <v>489</v>
      </c>
    </row>
    <row r="39" spans="1:27" ht="47.25" x14ac:dyDescent="0.25">
      <c r="A39" s="184">
        <v>15</v>
      </c>
      <c r="B39" s="185" t="s">
        <v>503</v>
      </c>
      <c r="C39" s="185" t="s">
        <v>503</v>
      </c>
      <c r="D39" s="185" t="s">
        <v>503</v>
      </c>
      <c r="E39" s="185" t="s">
        <v>503</v>
      </c>
      <c r="F39" s="29">
        <v>0.4</v>
      </c>
      <c r="G39" s="29">
        <v>0.4</v>
      </c>
      <c r="H39" s="29">
        <v>0.4</v>
      </c>
      <c r="I39" s="29">
        <v>0.4</v>
      </c>
      <c r="J39" s="29" t="s">
        <v>294</v>
      </c>
      <c r="K39" s="29">
        <v>1</v>
      </c>
      <c r="L39" s="29">
        <v>1</v>
      </c>
      <c r="M39" s="29" t="s">
        <v>485</v>
      </c>
      <c r="N39" s="29" t="s">
        <v>486</v>
      </c>
      <c r="O39" s="29" t="s">
        <v>487</v>
      </c>
      <c r="P39" s="29" t="s">
        <v>487</v>
      </c>
      <c r="Q39" s="186">
        <v>1.41</v>
      </c>
      <c r="R39" s="186">
        <v>1.41</v>
      </c>
      <c r="S39" s="29">
        <v>2021</v>
      </c>
      <c r="T39" s="29" t="s">
        <v>294</v>
      </c>
      <c r="U39" s="29" t="s">
        <v>294</v>
      </c>
      <c r="V39" s="29" t="s">
        <v>488</v>
      </c>
      <c r="W39" s="29" t="s">
        <v>488</v>
      </c>
      <c r="X39" s="29" t="s">
        <v>489</v>
      </c>
      <c r="Y39" s="29" t="s">
        <v>489</v>
      </c>
      <c r="Z39" s="29" t="s">
        <v>489</v>
      </c>
      <c r="AA39" s="29" t="s">
        <v>489</v>
      </c>
    </row>
    <row r="40" spans="1:27" ht="47.25" x14ac:dyDescent="0.25">
      <c r="A40" s="184">
        <v>16</v>
      </c>
      <c r="B40" s="185" t="s">
        <v>504</v>
      </c>
      <c r="C40" s="185" t="s">
        <v>504</v>
      </c>
      <c r="D40" s="185" t="s">
        <v>504</v>
      </c>
      <c r="E40" s="185" t="s">
        <v>504</v>
      </c>
      <c r="F40" s="29">
        <v>0.4</v>
      </c>
      <c r="G40" s="29">
        <v>0.4</v>
      </c>
      <c r="H40" s="29">
        <v>0.4</v>
      </c>
      <c r="I40" s="29">
        <v>0.4</v>
      </c>
      <c r="J40" s="29" t="s">
        <v>294</v>
      </c>
      <c r="K40" s="29">
        <v>1</v>
      </c>
      <c r="L40" s="29">
        <v>1</v>
      </c>
      <c r="M40" s="29" t="s">
        <v>485</v>
      </c>
      <c r="N40" s="29" t="s">
        <v>486</v>
      </c>
      <c r="O40" s="29" t="s">
        <v>487</v>
      </c>
      <c r="P40" s="29" t="s">
        <v>487</v>
      </c>
      <c r="Q40" s="186">
        <v>1.141</v>
      </c>
      <c r="R40" s="186">
        <v>1.141</v>
      </c>
      <c r="S40" s="29">
        <v>2021</v>
      </c>
      <c r="T40" s="29" t="s">
        <v>294</v>
      </c>
      <c r="U40" s="29" t="s">
        <v>294</v>
      </c>
      <c r="V40" s="29" t="s">
        <v>488</v>
      </c>
      <c r="W40" s="29" t="s">
        <v>488</v>
      </c>
      <c r="X40" s="29" t="s">
        <v>489</v>
      </c>
      <c r="Y40" s="29" t="s">
        <v>489</v>
      </c>
      <c r="Z40" s="29" t="s">
        <v>489</v>
      </c>
      <c r="AA40" s="29" t="s">
        <v>489</v>
      </c>
    </row>
    <row r="41" spans="1:27" ht="47.25" x14ac:dyDescent="0.25">
      <c r="A41" s="184">
        <v>17</v>
      </c>
      <c r="B41" s="185" t="s">
        <v>505</v>
      </c>
      <c r="C41" s="185" t="s">
        <v>505</v>
      </c>
      <c r="D41" s="185" t="s">
        <v>505</v>
      </c>
      <c r="E41" s="185" t="s">
        <v>505</v>
      </c>
      <c r="F41" s="29">
        <v>0.4</v>
      </c>
      <c r="G41" s="29">
        <v>0.4</v>
      </c>
      <c r="H41" s="29">
        <v>0.4</v>
      </c>
      <c r="I41" s="29">
        <v>0.4</v>
      </c>
      <c r="J41" s="29" t="s">
        <v>294</v>
      </c>
      <c r="K41" s="29">
        <v>1</v>
      </c>
      <c r="L41" s="29">
        <v>1</v>
      </c>
      <c r="M41" s="29" t="s">
        <v>485</v>
      </c>
      <c r="N41" s="29" t="s">
        <v>486</v>
      </c>
      <c r="O41" s="29" t="s">
        <v>487</v>
      </c>
      <c r="P41" s="29" t="s">
        <v>487</v>
      </c>
      <c r="Q41" s="186">
        <v>1.145</v>
      </c>
      <c r="R41" s="186">
        <v>1.145</v>
      </c>
      <c r="S41" s="29">
        <v>2021</v>
      </c>
      <c r="T41" s="29" t="s">
        <v>294</v>
      </c>
      <c r="U41" s="29" t="s">
        <v>294</v>
      </c>
      <c r="V41" s="29" t="s">
        <v>488</v>
      </c>
      <c r="W41" s="29" t="s">
        <v>488</v>
      </c>
      <c r="X41" s="29" t="s">
        <v>489</v>
      </c>
      <c r="Y41" s="29" t="s">
        <v>489</v>
      </c>
      <c r="Z41" s="29" t="s">
        <v>489</v>
      </c>
      <c r="AA41" s="29" t="s">
        <v>489</v>
      </c>
    </row>
    <row r="42" spans="1:27" ht="47.25" x14ac:dyDescent="0.25">
      <c r="A42" s="184">
        <v>18</v>
      </c>
      <c r="B42" s="185" t="s">
        <v>506</v>
      </c>
      <c r="C42" s="185" t="s">
        <v>506</v>
      </c>
      <c r="D42" s="185" t="s">
        <v>506</v>
      </c>
      <c r="E42" s="185" t="s">
        <v>506</v>
      </c>
      <c r="F42" s="29">
        <v>0.4</v>
      </c>
      <c r="G42" s="29">
        <v>0.4</v>
      </c>
      <c r="H42" s="29">
        <v>0.4</v>
      </c>
      <c r="I42" s="29">
        <v>0.4</v>
      </c>
      <c r="J42" s="29" t="s">
        <v>294</v>
      </c>
      <c r="K42" s="29">
        <v>1</v>
      </c>
      <c r="L42" s="29">
        <v>1</v>
      </c>
      <c r="M42" s="29" t="s">
        <v>485</v>
      </c>
      <c r="N42" s="29" t="s">
        <v>486</v>
      </c>
      <c r="O42" s="29" t="s">
        <v>487</v>
      </c>
      <c r="P42" s="29" t="s">
        <v>487</v>
      </c>
      <c r="Q42" s="186">
        <v>1.06</v>
      </c>
      <c r="R42" s="186">
        <v>1.06</v>
      </c>
      <c r="S42" s="29">
        <v>2021</v>
      </c>
      <c r="T42" s="29" t="s">
        <v>294</v>
      </c>
      <c r="U42" s="29" t="s">
        <v>294</v>
      </c>
      <c r="V42" s="29" t="s">
        <v>488</v>
      </c>
      <c r="W42" s="29" t="s">
        <v>488</v>
      </c>
      <c r="X42" s="29" t="s">
        <v>489</v>
      </c>
      <c r="Y42" s="29" t="s">
        <v>489</v>
      </c>
      <c r="Z42" s="29" t="s">
        <v>489</v>
      </c>
      <c r="AA42" s="29" t="s">
        <v>489</v>
      </c>
    </row>
    <row r="43" spans="1:27" ht="47.25" x14ac:dyDescent="0.25">
      <c r="A43" s="184">
        <v>19</v>
      </c>
      <c r="B43" s="185" t="s">
        <v>507</v>
      </c>
      <c r="C43" s="185" t="s">
        <v>507</v>
      </c>
      <c r="D43" s="185" t="s">
        <v>507</v>
      </c>
      <c r="E43" s="185" t="s">
        <v>507</v>
      </c>
      <c r="F43" s="29">
        <v>0.4</v>
      </c>
      <c r="G43" s="29">
        <v>0.4</v>
      </c>
      <c r="H43" s="29">
        <v>0.4</v>
      </c>
      <c r="I43" s="29">
        <v>0.4</v>
      </c>
      <c r="J43" s="29" t="s">
        <v>294</v>
      </c>
      <c r="K43" s="29">
        <v>1</v>
      </c>
      <c r="L43" s="29">
        <v>1</v>
      </c>
      <c r="M43" s="29" t="s">
        <v>485</v>
      </c>
      <c r="N43" s="29" t="s">
        <v>486</v>
      </c>
      <c r="O43" s="29" t="s">
        <v>487</v>
      </c>
      <c r="P43" s="29" t="s">
        <v>487</v>
      </c>
      <c r="Q43" s="186">
        <v>1.645</v>
      </c>
      <c r="R43" s="186">
        <v>1.645</v>
      </c>
      <c r="S43" s="29">
        <v>2021</v>
      </c>
      <c r="T43" s="29" t="s">
        <v>294</v>
      </c>
      <c r="U43" s="29" t="s">
        <v>294</v>
      </c>
      <c r="V43" s="29" t="s">
        <v>488</v>
      </c>
      <c r="W43" s="29" t="s">
        <v>488</v>
      </c>
      <c r="X43" s="29" t="s">
        <v>489</v>
      </c>
      <c r="Y43" s="29" t="s">
        <v>489</v>
      </c>
      <c r="Z43" s="29" t="s">
        <v>489</v>
      </c>
      <c r="AA43" s="29" t="s">
        <v>489</v>
      </c>
    </row>
    <row r="44" spans="1:27" ht="47.25" x14ac:dyDescent="0.25">
      <c r="A44" s="184">
        <v>20</v>
      </c>
      <c r="B44" s="185" t="s">
        <v>508</v>
      </c>
      <c r="C44" s="185" t="s">
        <v>508</v>
      </c>
      <c r="D44" s="185" t="s">
        <v>508</v>
      </c>
      <c r="E44" s="185" t="s">
        <v>508</v>
      </c>
      <c r="F44" s="29">
        <v>0.4</v>
      </c>
      <c r="G44" s="29">
        <v>0.4</v>
      </c>
      <c r="H44" s="29">
        <v>0.4</v>
      </c>
      <c r="I44" s="29">
        <v>0.4</v>
      </c>
      <c r="J44" s="29" t="s">
        <v>294</v>
      </c>
      <c r="K44" s="29">
        <v>1</v>
      </c>
      <c r="L44" s="29">
        <v>1</v>
      </c>
      <c r="M44" s="29" t="s">
        <v>485</v>
      </c>
      <c r="N44" s="29" t="s">
        <v>486</v>
      </c>
      <c r="O44" s="29" t="s">
        <v>487</v>
      </c>
      <c r="P44" s="29" t="s">
        <v>487</v>
      </c>
      <c r="Q44" s="186">
        <v>0.98499999999999999</v>
      </c>
      <c r="R44" s="186">
        <v>0.98499999999999999</v>
      </c>
      <c r="S44" s="29">
        <v>2021</v>
      </c>
      <c r="T44" s="29" t="s">
        <v>294</v>
      </c>
      <c r="U44" s="29" t="s">
        <v>294</v>
      </c>
      <c r="V44" s="29" t="s">
        <v>488</v>
      </c>
      <c r="W44" s="29" t="s">
        <v>488</v>
      </c>
      <c r="X44" s="29" t="s">
        <v>489</v>
      </c>
      <c r="Y44" s="29" t="s">
        <v>489</v>
      </c>
      <c r="Z44" s="29" t="s">
        <v>489</v>
      </c>
      <c r="AA44" s="29" t="s">
        <v>489</v>
      </c>
    </row>
    <row r="45" spans="1:27" ht="47.25" x14ac:dyDescent="0.25">
      <c r="A45" s="184">
        <v>21</v>
      </c>
      <c r="B45" s="185" t="s">
        <v>509</v>
      </c>
      <c r="C45" s="185" t="s">
        <v>509</v>
      </c>
      <c r="D45" s="185" t="s">
        <v>509</v>
      </c>
      <c r="E45" s="185" t="s">
        <v>509</v>
      </c>
      <c r="F45" s="29">
        <v>0.4</v>
      </c>
      <c r="G45" s="29">
        <v>0.4</v>
      </c>
      <c r="H45" s="29">
        <v>0.4</v>
      </c>
      <c r="I45" s="29">
        <v>0.4</v>
      </c>
      <c r="J45" s="29" t="s">
        <v>294</v>
      </c>
      <c r="K45" s="29">
        <v>1</v>
      </c>
      <c r="L45" s="29">
        <v>1</v>
      </c>
      <c r="M45" s="29" t="s">
        <v>485</v>
      </c>
      <c r="N45" s="29" t="s">
        <v>486</v>
      </c>
      <c r="O45" s="29" t="s">
        <v>487</v>
      </c>
      <c r="P45" s="29" t="s">
        <v>487</v>
      </c>
      <c r="Q45" s="186">
        <v>1.6850000000000001</v>
      </c>
      <c r="R45" s="186">
        <v>1.6850000000000001</v>
      </c>
      <c r="S45" s="29">
        <v>2021</v>
      </c>
      <c r="T45" s="29" t="s">
        <v>294</v>
      </c>
      <c r="U45" s="29" t="s">
        <v>294</v>
      </c>
      <c r="V45" s="29" t="s">
        <v>488</v>
      </c>
      <c r="W45" s="29" t="s">
        <v>488</v>
      </c>
      <c r="X45" s="29" t="s">
        <v>489</v>
      </c>
      <c r="Y45" s="29" t="s">
        <v>489</v>
      </c>
      <c r="Z45" s="29" t="s">
        <v>489</v>
      </c>
      <c r="AA45" s="29" t="s">
        <v>489</v>
      </c>
    </row>
    <row r="46" spans="1:27" ht="47.25" x14ac:dyDescent="0.25">
      <c r="A46" s="184">
        <v>22</v>
      </c>
      <c r="B46" s="185" t="s">
        <v>510</v>
      </c>
      <c r="C46" s="185" t="s">
        <v>510</v>
      </c>
      <c r="D46" s="185" t="s">
        <v>510</v>
      </c>
      <c r="E46" s="185" t="s">
        <v>510</v>
      </c>
      <c r="F46" s="29">
        <v>0.4</v>
      </c>
      <c r="G46" s="29">
        <v>0.4</v>
      </c>
      <c r="H46" s="29">
        <v>0.4</v>
      </c>
      <c r="I46" s="29">
        <v>0.4</v>
      </c>
      <c r="J46" s="29" t="s">
        <v>294</v>
      </c>
      <c r="K46" s="29">
        <v>1</v>
      </c>
      <c r="L46" s="29">
        <v>1</v>
      </c>
      <c r="M46" s="29" t="s">
        <v>485</v>
      </c>
      <c r="N46" s="29" t="s">
        <v>486</v>
      </c>
      <c r="O46" s="29" t="s">
        <v>487</v>
      </c>
      <c r="P46" s="29" t="s">
        <v>487</v>
      </c>
      <c r="Q46" s="186">
        <v>1.67</v>
      </c>
      <c r="R46" s="186">
        <v>1.67</v>
      </c>
      <c r="S46" s="29">
        <v>2021</v>
      </c>
      <c r="T46" s="29" t="s">
        <v>294</v>
      </c>
      <c r="U46" s="29" t="s">
        <v>294</v>
      </c>
      <c r="V46" s="29" t="s">
        <v>488</v>
      </c>
      <c r="W46" s="29" t="s">
        <v>488</v>
      </c>
      <c r="X46" s="29" t="s">
        <v>489</v>
      </c>
      <c r="Y46" s="29" t="s">
        <v>489</v>
      </c>
      <c r="Z46" s="29" t="s">
        <v>489</v>
      </c>
      <c r="AA46" s="29" t="s">
        <v>489</v>
      </c>
    </row>
    <row r="47" spans="1:27" ht="47.25" x14ac:dyDescent="0.25">
      <c r="A47" s="184">
        <v>23</v>
      </c>
      <c r="B47" s="185" t="s">
        <v>511</v>
      </c>
      <c r="C47" s="185" t="s">
        <v>511</v>
      </c>
      <c r="D47" s="185" t="s">
        <v>511</v>
      </c>
      <c r="E47" s="185" t="s">
        <v>511</v>
      </c>
      <c r="F47" s="29">
        <v>0.4</v>
      </c>
      <c r="G47" s="29">
        <v>0.4</v>
      </c>
      <c r="H47" s="29">
        <v>0.4</v>
      </c>
      <c r="I47" s="29">
        <v>0.4</v>
      </c>
      <c r="J47" s="29" t="s">
        <v>294</v>
      </c>
      <c r="K47" s="29">
        <v>1</v>
      </c>
      <c r="L47" s="29">
        <v>1</v>
      </c>
      <c r="M47" s="29" t="s">
        <v>485</v>
      </c>
      <c r="N47" s="29" t="s">
        <v>486</v>
      </c>
      <c r="O47" s="29" t="s">
        <v>487</v>
      </c>
      <c r="P47" s="29" t="s">
        <v>487</v>
      </c>
      <c r="Q47" s="186">
        <v>1.8819999999999999</v>
      </c>
      <c r="R47" s="186">
        <v>1.8819999999999999</v>
      </c>
      <c r="S47" s="29">
        <v>2021</v>
      </c>
      <c r="T47" s="29" t="s">
        <v>294</v>
      </c>
      <c r="U47" s="29" t="s">
        <v>294</v>
      </c>
      <c r="V47" s="29" t="s">
        <v>488</v>
      </c>
      <c r="W47" s="29" t="s">
        <v>488</v>
      </c>
      <c r="X47" s="29" t="s">
        <v>489</v>
      </c>
      <c r="Y47" s="29" t="s">
        <v>489</v>
      </c>
      <c r="Z47" s="29" t="s">
        <v>489</v>
      </c>
      <c r="AA47" s="29" t="s">
        <v>489</v>
      </c>
    </row>
    <row r="48" spans="1:27" ht="47.25" x14ac:dyDescent="0.25">
      <c r="A48" s="184">
        <v>24</v>
      </c>
      <c r="B48" s="185" t="s">
        <v>512</v>
      </c>
      <c r="C48" s="185" t="s">
        <v>512</v>
      </c>
      <c r="D48" s="185" t="s">
        <v>512</v>
      </c>
      <c r="E48" s="185" t="s">
        <v>512</v>
      </c>
      <c r="F48" s="29">
        <v>0.4</v>
      </c>
      <c r="G48" s="29">
        <v>0.4</v>
      </c>
      <c r="H48" s="29">
        <v>0.4</v>
      </c>
      <c r="I48" s="29">
        <v>0.4</v>
      </c>
      <c r="J48" s="29" t="s">
        <v>294</v>
      </c>
      <c r="K48" s="29">
        <v>1</v>
      </c>
      <c r="L48" s="29">
        <v>1</v>
      </c>
      <c r="M48" s="29" t="s">
        <v>485</v>
      </c>
      <c r="N48" s="29" t="s">
        <v>486</v>
      </c>
      <c r="O48" s="29" t="s">
        <v>487</v>
      </c>
      <c r="P48" s="29" t="s">
        <v>487</v>
      </c>
      <c r="Q48" s="186">
        <v>0.76900000000000002</v>
      </c>
      <c r="R48" s="186">
        <v>0.76900000000000002</v>
      </c>
      <c r="S48" s="29">
        <v>2021</v>
      </c>
      <c r="T48" s="29" t="s">
        <v>294</v>
      </c>
      <c r="U48" s="29" t="s">
        <v>294</v>
      </c>
      <c r="V48" s="29" t="s">
        <v>488</v>
      </c>
      <c r="W48" s="29" t="s">
        <v>488</v>
      </c>
      <c r="X48" s="29" t="s">
        <v>489</v>
      </c>
      <c r="Y48" s="29" t="s">
        <v>489</v>
      </c>
      <c r="Z48" s="29" t="s">
        <v>489</v>
      </c>
      <c r="AA48" s="29" t="s">
        <v>489</v>
      </c>
    </row>
    <row r="49" spans="1:27" ht="47.25" x14ac:dyDescent="0.25">
      <c r="A49" s="184">
        <v>25</v>
      </c>
      <c r="B49" s="185" t="s">
        <v>513</v>
      </c>
      <c r="C49" s="185" t="s">
        <v>513</v>
      </c>
      <c r="D49" s="185" t="s">
        <v>513</v>
      </c>
      <c r="E49" s="185" t="s">
        <v>513</v>
      </c>
      <c r="F49" s="29">
        <v>0.4</v>
      </c>
      <c r="G49" s="29">
        <v>0.4</v>
      </c>
      <c r="H49" s="29">
        <v>0.4</v>
      </c>
      <c r="I49" s="29">
        <v>0.4</v>
      </c>
      <c r="J49" s="29" t="s">
        <v>294</v>
      </c>
      <c r="K49" s="29">
        <v>1</v>
      </c>
      <c r="L49" s="29">
        <v>1</v>
      </c>
      <c r="M49" s="29" t="s">
        <v>485</v>
      </c>
      <c r="N49" s="29" t="s">
        <v>486</v>
      </c>
      <c r="O49" s="29" t="s">
        <v>487</v>
      </c>
      <c r="P49" s="29" t="s">
        <v>487</v>
      </c>
      <c r="Q49" s="186">
        <v>1.395</v>
      </c>
      <c r="R49" s="186">
        <v>1.395</v>
      </c>
      <c r="S49" s="29">
        <v>2021</v>
      </c>
      <c r="T49" s="29" t="s">
        <v>294</v>
      </c>
      <c r="U49" s="29" t="s">
        <v>294</v>
      </c>
      <c r="V49" s="29" t="s">
        <v>488</v>
      </c>
      <c r="W49" s="29" t="s">
        <v>488</v>
      </c>
      <c r="X49" s="29" t="s">
        <v>489</v>
      </c>
      <c r="Y49" s="29" t="s">
        <v>489</v>
      </c>
      <c r="Z49" s="29" t="s">
        <v>489</v>
      </c>
      <c r="AA49" s="29" t="s">
        <v>489</v>
      </c>
    </row>
    <row r="50" spans="1:27" ht="47.25" x14ac:dyDescent="0.25">
      <c r="A50" s="184">
        <v>26</v>
      </c>
      <c r="B50" s="185" t="s">
        <v>514</v>
      </c>
      <c r="C50" s="185" t="s">
        <v>514</v>
      </c>
      <c r="D50" s="185" t="s">
        <v>514</v>
      </c>
      <c r="E50" s="185" t="s">
        <v>514</v>
      </c>
      <c r="F50" s="29">
        <v>0.4</v>
      </c>
      <c r="G50" s="29">
        <v>0.4</v>
      </c>
      <c r="H50" s="29">
        <v>0.4</v>
      </c>
      <c r="I50" s="29">
        <v>0.4</v>
      </c>
      <c r="J50" s="29" t="s">
        <v>294</v>
      </c>
      <c r="K50" s="29">
        <v>1</v>
      </c>
      <c r="L50" s="29">
        <v>1</v>
      </c>
      <c r="M50" s="29" t="s">
        <v>485</v>
      </c>
      <c r="N50" s="29" t="s">
        <v>486</v>
      </c>
      <c r="O50" s="29" t="s">
        <v>487</v>
      </c>
      <c r="P50" s="29" t="s">
        <v>487</v>
      </c>
      <c r="Q50" s="186">
        <v>1.085</v>
      </c>
      <c r="R50" s="186">
        <v>1.085</v>
      </c>
      <c r="S50" s="29">
        <v>2021</v>
      </c>
      <c r="T50" s="29" t="s">
        <v>294</v>
      </c>
      <c r="U50" s="29" t="s">
        <v>294</v>
      </c>
      <c r="V50" s="29" t="s">
        <v>488</v>
      </c>
      <c r="W50" s="29" t="s">
        <v>488</v>
      </c>
      <c r="X50" s="29" t="s">
        <v>489</v>
      </c>
      <c r="Y50" s="29" t="s">
        <v>489</v>
      </c>
      <c r="Z50" s="29" t="s">
        <v>489</v>
      </c>
      <c r="AA50" s="29" t="s">
        <v>489</v>
      </c>
    </row>
    <row r="51" spans="1:27" ht="47.25" x14ac:dyDescent="0.25">
      <c r="A51" s="184">
        <v>27</v>
      </c>
      <c r="B51" s="185" t="s">
        <v>515</v>
      </c>
      <c r="C51" s="185" t="s">
        <v>515</v>
      </c>
      <c r="D51" s="185" t="s">
        <v>515</v>
      </c>
      <c r="E51" s="185" t="s">
        <v>515</v>
      </c>
      <c r="F51" s="29">
        <v>0.4</v>
      </c>
      <c r="G51" s="29">
        <v>0.4</v>
      </c>
      <c r="H51" s="29">
        <v>0.4</v>
      </c>
      <c r="I51" s="29">
        <v>0.4</v>
      </c>
      <c r="J51" s="29" t="s">
        <v>294</v>
      </c>
      <c r="K51" s="29">
        <v>1</v>
      </c>
      <c r="L51" s="29">
        <v>1</v>
      </c>
      <c r="M51" s="29" t="s">
        <v>485</v>
      </c>
      <c r="N51" s="29" t="s">
        <v>486</v>
      </c>
      <c r="O51" s="29" t="s">
        <v>487</v>
      </c>
      <c r="P51" s="29" t="s">
        <v>487</v>
      </c>
      <c r="Q51" s="186">
        <v>1.6040000000000001</v>
      </c>
      <c r="R51" s="186">
        <v>1.6040000000000001</v>
      </c>
      <c r="S51" s="29">
        <v>2021</v>
      </c>
      <c r="T51" s="29" t="s">
        <v>294</v>
      </c>
      <c r="U51" s="29" t="s">
        <v>294</v>
      </c>
      <c r="V51" s="29" t="s">
        <v>488</v>
      </c>
      <c r="W51" s="29" t="s">
        <v>488</v>
      </c>
      <c r="X51" s="29" t="s">
        <v>489</v>
      </c>
      <c r="Y51" s="29" t="s">
        <v>489</v>
      </c>
      <c r="Z51" s="29" t="s">
        <v>489</v>
      </c>
      <c r="AA51" s="29" t="s">
        <v>489</v>
      </c>
    </row>
    <row r="52" spans="1:27" ht="47.25" x14ac:dyDescent="0.25">
      <c r="A52" s="184">
        <v>28</v>
      </c>
      <c r="B52" s="185" t="s">
        <v>516</v>
      </c>
      <c r="C52" s="185" t="s">
        <v>516</v>
      </c>
      <c r="D52" s="185" t="s">
        <v>516</v>
      </c>
      <c r="E52" s="185" t="s">
        <v>516</v>
      </c>
      <c r="F52" s="29">
        <v>0.4</v>
      </c>
      <c r="G52" s="29">
        <v>0.4</v>
      </c>
      <c r="H52" s="29">
        <v>0.4</v>
      </c>
      <c r="I52" s="29">
        <v>0.4</v>
      </c>
      <c r="J52" s="29" t="s">
        <v>294</v>
      </c>
      <c r="K52" s="29">
        <v>1</v>
      </c>
      <c r="L52" s="29">
        <v>1</v>
      </c>
      <c r="M52" s="29" t="s">
        <v>485</v>
      </c>
      <c r="N52" s="29" t="s">
        <v>486</v>
      </c>
      <c r="O52" s="29" t="s">
        <v>487</v>
      </c>
      <c r="P52" s="29" t="s">
        <v>487</v>
      </c>
      <c r="Q52" s="186">
        <v>1.5249999999999999</v>
      </c>
      <c r="R52" s="186">
        <v>1.5249999999999999</v>
      </c>
      <c r="S52" s="29">
        <v>2021</v>
      </c>
      <c r="T52" s="29" t="s">
        <v>294</v>
      </c>
      <c r="U52" s="29" t="s">
        <v>294</v>
      </c>
      <c r="V52" s="29" t="s">
        <v>488</v>
      </c>
      <c r="W52" s="29" t="s">
        <v>488</v>
      </c>
      <c r="X52" s="29" t="s">
        <v>489</v>
      </c>
      <c r="Y52" s="29" t="s">
        <v>489</v>
      </c>
      <c r="Z52" s="29" t="s">
        <v>489</v>
      </c>
      <c r="AA52" s="29" t="s">
        <v>489</v>
      </c>
    </row>
    <row r="53" spans="1:27" ht="47.25" x14ac:dyDescent="0.25">
      <c r="A53" s="184">
        <v>29</v>
      </c>
      <c r="B53" s="185" t="s">
        <v>517</v>
      </c>
      <c r="C53" s="185" t="s">
        <v>517</v>
      </c>
      <c r="D53" s="185" t="s">
        <v>517</v>
      </c>
      <c r="E53" s="185" t="s">
        <v>517</v>
      </c>
      <c r="F53" s="29">
        <v>0.4</v>
      </c>
      <c r="G53" s="29">
        <v>0.4</v>
      </c>
      <c r="H53" s="29">
        <v>0.4</v>
      </c>
      <c r="I53" s="29">
        <v>0.4</v>
      </c>
      <c r="J53" s="29" t="s">
        <v>294</v>
      </c>
      <c r="K53" s="29">
        <v>1</v>
      </c>
      <c r="L53" s="29">
        <v>1</v>
      </c>
      <c r="M53" s="29" t="s">
        <v>485</v>
      </c>
      <c r="N53" s="29" t="s">
        <v>486</v>
      </c>
      <c r="O53" s="29" t="s">
        <v>487</v>
      </c>
      <c r="P53" s="29" t="s">
        <v>487</v>
      </c>
      <c r="Q53" s="186">
        <v>0.98399999999999999</v>
      </c>
      <c r="R53" s="186">
        <v>0.98399999999999999</v>
      </c>
      <c r="S53" s="29">
        <v>2021</v>
      </c>
      <c r="T53" s="29" t="s">
        <v>294</v>
      </c>
      <c r="U53" s="29" t="s">
        <v>294</v>
      </c>
      <c r="V53" s="29" t="s">
        <v>488</v>
      </c>
      <c r="W53" s="29" t="s">
        <v>488</v>
      </c>
      <c r="X53" s="29" t="s">
        <v>489</v>
      </c>
      <c r="Y53" s="29" t="s">
        <v>489</v>
      </c>
      <c r="Z53" s="29" t="s">
        <v>489</v>
      </c>
      <c r="AA53" s="29" t="s">
        <v>489</v>
      </c>
    </row>
    <row r="54" spans="1:27" ht="47.25" x14ac:dyDescent="0.25">
      <c r="A54" s="184">
        <v>30</v>
      </c>
      <c r="B54" s="185" t="s">
        <v>518</v>
      </c>
      <c r="C54" s="185" t="s">
        <v>518</v>
      </c>
      <c r="D54" s="185" t="s">
        <v>518</v>
      </c>
      <c r="E54" s="185" t="s">
        <v>518</v>
      </c>
      <c r="F54" s="29">
        <v>0.4</v>
      </c>
      <c r="G54" s="29">
        <v>0.4</v>
      </c>
      <c r="H54" s="29">
        <v>0.4</v>
      </c>
      <c r="I54" s="29">
        <v>0.4</v>
      </c>
      <c r="J54" s="29" t="s">
        <v>294</v>
      </c>
      <c r="K54" s="29">
        <v>1</v>
      </c>
      <c r="L54" s="29">
        <v>1</v>
      </c>
      <c r="M54" s="29" t="s">
        <v>485</v>
      </c>
      <c r="N54" s="29" t="s">
        <v>486</v>
      </c>
      <c r="O54" s="29" t="s">
        <v>487</v>
      </c>
      <c r="P54" s="29" t="s">
        <v>487</v>
      </c>
      <c r="Q54" s="186">
        <v>1.2110000000000001</v>
      </c>
      <c r="R54" s="186">
        <v>1.2110000000000001</v>
      </c>
      <c r="S54" s="29">
        <v>2021</v>
      </c>
      <c r="T54" s="29" t="s">
        <v>294</v>
      </c>
      <c r="U54" s="29" t="s">
        <v>294</v>
      </c>
      <c r="V54" s="29" t="s">
        <v>488</v>
      </c>
      <c r="W54" s="29" t="s">
        <v>488</v>
      </c>
      <c r="X54" s="29" t="s">
        <v>489</v>
      </c>
      <c r="Y54" s="29" t="s">
        <v>489</v>
      </c>
      <c r="Z54" s="29" t="s">
        <v>489</v>
      </c>
      <c r="AA54" s="29" t="s">
        <v>489</v>
      </c>
    </row>
    <row r="55" spans="1:27" ht="47.25" x14ac:dyDescent="0.25">
      <c r="A55" s="184">
        <v>31</v>
      </c>
      <c r="B55" s="185" t="s">
        <v>519</v>
      </c>
      <c r="C55" s="185" t="s">
        <v>519</v>
      </c>
      <c r="D55" s="185" t="s">
        <v>519</v>
      </c>
      <c r="E55" s="185" t="s">
        <v>519</v>
      </c>
      <c r="F55" s="29">
        <v>0.4</v>
      </c>
      <c r="G55" s="29">
        <v>0.4</v>
      </c>
      <c r="H55" s="29">
        <v>0.4</v>
      </c>
      <c r="I55" s="29">
        <v>0.4</v>
      </c>
      <c r="J55" s="29" t="s">
        <v>294</v>
      </c>
      <c r="K55" s="29">
        <v>1</v>
      </c>
      <c r="L55" s="29">
        <v>1</v>
      </c>
      <c r="M55" s="29" t="s">
        <v>485</v>
      </c>
      <c r="N55" s="29" t="s">
        <v>486</v>
      </c>
      <c r="O55" s="29" t="s">
        <v>487</v>
      </c>
      <c r="P55" s="29" t="s">
        <v>487</v>
      </c>
      <c r="Q55" s="186">
        <v>2.67</v>
      </c>
      <c r="R55" s="186">
        <v>2.67</v>
      </c>
      <c r="S55" s="29">
        <v>2021</v>
      </c>
      <c r="T55" s="29" t="s">
        <v>294</v>
      </c>
      <c r="U55" s="29" t="s">
        <v>294</v>
      </c>
      <c r="V55" s="29" t="s">
        <v>488</v>
      </c>
      <c r="W55" s="29" t="s">
        <v>488</v>
      </c>
      <c r="X55" s="29" t="s">
        <v>489</v>
      </c>
      <c r="Y55" s="29" t="s">
        <v>489</v>
      </c>
      <c r="Z55" s="29" t="s">
        <v>489</v>
      </c>
      <c r="AA55" s="29" t="s">
        <v>489</v>
      </c>
    </row>
    <row r="56" spans="1:27" ht="47.25" x14ac:dyDescent="0.25">
      <c r="A56" s="184">
        <v>32</v>
      </c>
      <c r="B56" s="185" t="s">
        <v>520</v>
      </c>
      <c r="C56" s="185" t="s">
        <v>520</v>
      </c>
      <c r="D56" s="185" t="s">
        <v>520</v>
      </c>
      <c r="E56" s="185" t="s">
        <v>520</v>
      </c>
      <c r="F56" s="29">
        <v>0.4</v>
      </c>
      <c r="G56" s="29">
        <v>0.4</v>
      </c>
      <c r="H56" s="29">
        <v>0.4</v>
      </c>
      <c r="I56" s="29">
        <v>0.4</v>
      </c>
      <c r="J56" s="29" t="s">
        <v>294</v>
      </c>
      <c r="K56" s="29">
        <v>1</v>
      </c>
      <c r="L56" s="29">
        <v>1</v>
      </c>
      <c r="M56" s="29" t="s">
        <v>485</v>
      </c>
      <c r="N56" s="29" t="s">
        <v>486</v>
      </c>
      <c r="O56" s="29" t="s">
        <v>487</v>
      </c>
      <c r="P56" s="29" t="s">
        <v>487</v>
      </c>
      <c r="Q56" s="186">
        <v>0.76700000000000002</v>
      </c>
      <c r="R56" s="186">
        <v>0.76700000000000002</v>
      </c>
      <c r="S56" s="29">
        <v>2021</v>
      </c>
      <c r="T56" s="29" t="s">
        <v>294</v>
      </c>
      <c r="U56" s="29" t="s">
        <v>294</v>
      </c>
      <c r="V56" s="29" t="s">
        <v>488</v>
      </c>
      <c r="W56" s="29" t="s">
        <v>488</v>
      </c>
      <c r="X56" s="29" t="s">
        <v>489</v>
      </c>
      <c r="Y56" s="29" t="s">
        <v>489</v>
      </c>
      <c r="Z56" s="29" t="s">
        <v>489</v>
      </c>
      <c r="AA56" s="29" t="s">
        <v>489</v>
      </c>
    </row>
    <row r="57" spans="1:27" ht="47.25" x14ac:dyDescent="0.25">
      <c r="A57" s="184">
        <v>33</v>
      </c>
      <c r="B57" s="185" t="s">
        <v>521</v>
      </c>
      <c r="C57" s="185" t="s">
        <v>521</v>
      </c>
      <c r="D57" s="185" t="s">
        <v>521</v>
      </c>
      <c r="E57" s="185" t="s">
        <v>521</v>
      </c>
      <c r="F57" s="29">
        <v>0.4</v>
      </c>
      <c r="G57" s="29">
        <v>0.4</v>
      </c>
      <c r="H57" s="29">
        <v>0.4</v>
      </c>
      <c r="I57" s="29">
        <v>0.4</v>
      </c>
      <c r="J57" s="29" t="s">
        <v>294</v>
      </c>
      <c r="K57" s="29">
        <v>1</v>
      </c>
      <c r="L57" s="29">
        <v>1</v>
      </c>
      <c r="M57" s="29" t="s">
        <v>485</v>
      </c>
      <c r="N57" s="29" t="s">
        <v>486</v>
      </c>
      <c r="O57" s="29" t="s">
        <v>487</v>
      </c>
      <c r="P57" s="29" t="s">
        <v>487</v>
      </c>
      <c r="Q57" s="186">
        <v>0.85399999999999998</v>
      </c>
      <c r="R57" s="186">
        <v>0.85399999999999998</v>
      </c>
      <c r="S57" s="29">
        <v>2021</v>
      </c>
      <c r="T57" s="29" t="s">
        <v>294</v>
      </c>
      <c r="U57" s="29" t="s">
        <v>294</v>
      </c>
      <c r="V57" s="29" t="s">
        <v>488</v>
      </c>
      <c r="W57" s="29" t="s">
        <v>488</v>
      </c>
      <c r="X57" s="29" t="s">
        <v>489</v>
      </c>
      <c r="Y57" s="29" t="s">
        <v>489</v>
      </c>
      <c r="Z57" s="29" t="s">
        <v>489</v>
      </c>
      <c r="AA57" s="29" t="s">
        <v>489</v>
      </c>
    </row>
    <row r="58" spans="1:27" ht="47.25" x14ac:dyDescent="0.25">
      <c r="A58" s="184">
        <v>34</v>
      </c>
      <c r="B58" s="185" t="s">
        <v>522</v>
      </c>
      <c r="C58" s="185" t="s">
        <v>522</v>
      </c>
      <c r="D58" s="185" t="s">
        <v>522</v>
      </c>
      <c r="E58" s="185" t="s">
        <v>522</v>
      </c>
      <c r="F58" s="29">
        <v>0.4</v>
      </c>
      <c r="G58" s="29">
        <v>0.4</v>
      </c>
      <c r="H58" s="29">
        <v>0.4</v>
      </c>
      <c r="I58" s="29">
        <v>0.4</v>
      </c>
      <c r="J58" s="29" t="s">
        <v>294</v>
      </c>
      <c r="K58" s="29">
        <v>1</v>
      </c>
      <c r="L58" s="29">
        <v>1</v>
      </c>
      <c r="M58" s="29" t="s">
        <v>485</v>
      </c>
      <c r="N58" s="29" t="s">
        <v>486</v>
      </c>
      <c r="O58" s="29" t="s">
        <v>487</v>
      </c>
      <c r="P58" s="29" t="s">
        <v>487</v>
      </c>
      <c r="Q58" s="186">
        <v>0.56999999999999995</v>
      </c>
      <c r="R58" s="186">
        <v>0.56999999999999995</v>
      </c>
      <c r="S58" s="29">
        <v>2021</v>
      </c>
      <c r="T58" s="29" t="s">
        <v>294</v>
      </c>
      <c r="U58" s="29" t="s">
        <v>294</v>
      </c>
      <c r="V58" s="29" t="s">
        <v>488</v>
      </c>
      <c r="W58" s="29" t="s">
        <v>488</v>
      </c>
      <c r="X58" s="29" t="s">
        <v>489</v>
      </c>
      <c r="Y58" s="29" t="s">
        <v>489</v>
      </c>
      <c r="Z58" s="29" t="s">
        <v>489</v>
      </c>
      <c r="AA58" s="29" t="s">
        <v>489</v>
      </c>
    </row>
    <row r="59" spans="1:27" ht="47.25" x14ac:dyDescent="0.25">
      <c r="A59" s="184">
        <v>35</v>
      </c>
      <c r="B59" s="185" t="s">
        <v>523</v>
      </c>
      <c r="C59" s="185" t="s">
        <v>523</v>
      </c>
      <c r="D59" s="185" t="s">
        <v>523</v>
      </c>
      <c r="E59" s="185" t="s">
        <v>523</v>
      </c>
      <c r="F59" s="29">
        <v>0.4</v>
      </c>
      <c r="G59" s="29">
        <v>0.4</v>
      </c>
      <c r="H59" s="29">
        <v>0.4</v>
      </c>
      <c r="I59" s="29">
        <v>0.4</v>
      </c>
      <c r="J59" s="29" t="s">
        <v>294</v>
      </c>
      <c r="K59" s="29">
        <v>1</v>
      </c>
      <c r="L59" s="29">
        <v>1</v>
      </c>
      <c r="M59" s="29" t="s">
        <v>485</v>
      </c>
      <c r="N59" s="29" t="s">
        <v>486</v>
      </c>
      <c r="O59" s="29" t="s">
        <v>487</v>
      </c>
      <c r="P59" s="29" t="s">
        <v>487</v>
      </c>
      <c r="Q59" s="186">
        <v>0.68500000000000005</v>
      </c>
      <c r="R59" s="186">
        <v>0.68500000000000005</v>
      </c>
      <c r="S59" s="29">
        <v>2021</v>
      </c>
      <c r="T59" s="29" t="s">
        <v>294</v>
      </c>
      <c r="U59" s="29" t="s">
        <v>294</v>
      </c>
      <c r="V59" s="29" t="s">
        <v>488</v>
      </c>
      <c r="W59" s="29" t="s">
        <v>488</v>
      </c>
      <c r="X59" s="29" t="s">
        <v>489</v>
      </c>
      <c r="Y59" s="29" t="s">
        <v>489</v>
      </c>
      <c r="Z59" s="29" t="s">
        <v>489</v>
      </c>
      <c r="AA59" s="29" t="s">
        <v>489</v>
      </c>
    </row>
    <row r="60" spans="1:27" ht="47.25" x14ac:dyDescent="0.25">
      <c r="A60" s="184">
        <v>36</v>
      </c>
      <c r="B60" s="185" t="s">
        <v>524</v>
      </c>
      <c r="C60" s="185" t="s">
        <v>524</v>
      </c>
      <c r="D60" s="185" t="s">
        <v>524</v>
      </c>
      <c r="E60" s="185" t="s">
        <v>524</v>
      </c>
      <c r="F60" s="29">
        <v>0.4</v>
      </c>
      <c r="G60" s="29">
        <v>0.4</v>
      </c>
      <c r="H60" s="29">
        <v>0.4</v>
      </c>
      <c r="I60" s="29">
        <v>0.4</v>
      </c>
      <c r="J60" s="29" t="s">
        <v>294</v>
      </c>
      <c r="K60" s="29">
        <v>1</v>
      </c>
      <c r="L60" s="29">
        <v>1</v>
      </c>
      <c r="M60" s="29" t="s">
        <v>485</v>
      </c>
      <c r="N60" s="29" t="s">
        <v>486</v>
      </c>
      <c r="O60" s="29" t="s">
        <v>487</v>
      </c>
      <c r="P60" s="29" t="s">
        <v>487</v>
      </c>
      <c r="Q60" s="186">
        <v>1.5349999999999999</v>
      </c>
      <c r="R60" s="186">
        <v>1.5349999999999999</v>
      </c>
      <c r="S60" s="29">
        <v>2021</v>
      </c>
      <c r="T60" s="29" t="s">
        <v>294</v>
      </c>
      <c r="U60" s="29" t="s">
        <v>294</v>
      </c>
      <c r="V60" s="29" t="s">
        <v>488</v>
      </c>
      <c r="W60" s="29" t="s">
        <v>488</v>
      </c>
      <c r="X60" s="29" t="s">
        <v>489</v>
      </c>
      <c r="Y60" s="29" t="s">
        <v>489</v>
      </c>
      <c r="Z60" s="29" t="s">
        <v>489</v>
      </c>
      <c r="AA60" s="29" t="s">
        <v>489</v>
      </c>
    </row>
    <row r="61" spans="1:27" ht="47.25" x14ac:dyDescent="0.25">
      <c r="A61" s="184">
        <v>37</v>
      </c>
      <c r="B61" s="185" t="s">
        <v>525</v>
      </c>
      <c r="C61" s="185" t="s">
        <v>525</v>
      </c>
      <c r="D61" s="185" t="s">
        <v>525</v>
      </c>
      <c r="E61" s="185" t="s">
        <v>525</v>
      </c>
      <c r="F61" s="29">
        <v>0.4</v>
      </c>
      <c r="G61" s="29">
        <v>0.4</v>
      </c>
      <c r="H61" s="29">
        <v>0.4</v>
      </c>
      <c r="I61" s="29">
        <v>0.4</v>
      </c>
      <c r="J61" s="29" t="s">
        <v>294</v>
      </c>
      <c r="K61" s="29">
        <v>1</v>
      </c>
      <c r="L61" s="29">
        <v>1</v>
      </c>
      <c r="M61" s="29" t="s">
        <v>485</v>
      </c>
      <c r="N61" s="29" t="s">
        <v>486</v>
      </c>
      <c r="O61" s="29" t="s">
        <v>487</v>
      </c>
      <c r="P61" s="29" t="s">
        <v>487</v>
      </c>
      <c r="Q61" s="186">
        <v>0.9</v>
      </c>
      <c r="R61" s="186">
        <v>0.9</v>
      </c>
      <c r="S61" s="29">
        <v>2021</v>
      </c>
      <c r="T61" s="29" t="s">
        <v>294</v>
      </c>
      <c r="U61" s="29" t="s">
        <v>294</v>
      </c>
      <c r="V61" s="29" t="s">
        <v>488</v>
      </c>
      <c r="W61" s="29" t="s">
        <v>488</v>
      </c>
      <c r="X61" s="29" t="s">
        <v>489</v>
      </c>
      <c r="Y61" s="29" t="s">
        <v>489</v>
      </c>
      <c r="Z61" s="29" t="s">
        <v>489</v>
      </c>
      <c r="AA61" s="29" t="s">
        <v>489</v>
      </c>
    </row>
    <row r="62" spans="1:27" ht="47.25" x14ac:dyDescent="0.25">
      <c r="A62" s="184">
        <v>38</v>
      </c>
      <c r="B62" s="185" t="s">
        <v>526</v>
      </c>
      <c r="C62" s="185" t="s">
        <v>526</v>
      </c>
      <c r="D62" s="185" t="s">
        <v>526</v>
      </c>
      <c r="E62" s="185" t="s">
        <v>526</v>
      </c>
      <c r="F62" s="29">
        <v>0.4</v>
      </c>
      <c r="G62" s="29">
        <v>0.4</v>
      </c>
      <c r="H62" s="29">
        <v>0.4</v>
      </c>
      <c r="I62" s="29">
        <v>0.4</v>
      </c>
      <c r="J62" s="29" t="s">
        <v>294</v>
      </c>
      <c r="K62" s="29">
        <v>1</v>
      </c>
      <c r="L62" s="29">
        <v>1</v>
      </c>
      <c r="M62" s="29" t="s">
        <v>485</v>
      </c>
      <c r="N62" s="29" t="s">
        <v>486</v>
      </c>
      <c r="O62" s="29" t="s">
        <v>487</v>
      </c>
      <c r="P62" s="29" t="s">
        <v>487</v>
      </c>
      <c r="Q62" s="186">
        <v>1.96</v>
      </c>
      <c r="R62" s="186">
        <v>1.96</v>
      </c>
      <c r="S62" s="29">
        <v>2021</v>
      </c>
      <c r="T62" s="29" t="s">
        <v>294</v>
      </c>
      <c r="U62" s="29" t="s">
        <v>294</v>
      </c>
      <c r="V62" s="29" t="s">
        <v>488</v>
      </c>
      <c r="W62" s="29" t="s">
        <v>488</v>
      </c>
      <c r="X62" s="29" t="s">
        <v>489</v>
      </c>
      <c r="Y62" s="29" t="s">
        <v>489</v>
      </c>
      <c r="Z62" s="29" t="s">
        <v>489</v>
      </c>
      <c r="AA62" s="29" t="s">
        <v>489</v>
      </c>
    </row>
    <row r="63" spans="1:27" ht="47.25" x14ac:dyDescent="0.25">
      <c r="A63" s="184">
        <v>39</v>
      </c>
      <c r="B63" s="185" t="s">
        <v>527</v>
      </c>
      <c r="C63" s="185" t="s">
        <v>527</v>
      </c>
      <c r="D63" s="185" t="s">
        <v>527</v>
      </c>
      <c r="E63" s="185" t="s">
        <v>527</v>
      </c>
      <c r="F63" s="29">
        <v>0.4</v>
      </c>
      <c r="G63" s="29">
        <v>0.4</v>
      </c>
      <c r="H63" s="29">
        <v>0.4</v>
      </c>
      <c r="I63" s="29">
        <v>0.4</v>
      </c>
      <c r="J63" s="29" t="s">
        <v>294</v>
      </c>
      <c r="K63" s="29">
        <v>1</v>
      </c>
      <c r="L63" s="29">
        <v>1</v>
      </c>
      <c r="M63" s="29" t="s">
        <v>485</v>
      </c>
      <c r="N63" s="29" t="s">
        <v>486</v>
      </c>
      <c r="O63" s="29" t="s">
        <v>487</v>
      </c>
      <c r="P63" s="29" t="s">
        <v>487</v>
      </c>
      <c r="Q63" s="186">
        <v>0.4</v>
      </c>
      <c r="R63" s="186">
        <v>0.4</v>
      </c>
      <c r="S63" s="29">
        <v>2021</v>
      </c>
      <c r="T63" s="29" t="s">
        <v>294</v>
      </c>
      <c r="U63" s="29" t="s">
        <v>294</v>
      </c>
      <c r="V63" s="29" t="s">
        <v>488</v>
      </c>
      <c r="W63" s="29" t="s">
        <v>488</v>
      </c>
      <c r="X63" s="29" t="s">
        <v>489</v>
      </c>
      <c r="Y63" s="29" t="s">
        <v>489</v>
      </c>
      <c r="Z63" s="29" t="s">
        <v>489</v>
      </c>
      <c r="AA63" s="29" t="s">
        <v>489</v>
      </c>
    </row>
    <row r="64" spans="1:27" ht="47.25" x14ac:dyDescent="0.25">
      <c r="A64" s="184">
        <v>40</v>
      </c>
      <c r="B64" s="185" t="s">
        <v>528</v>
      </c>
      <c r="C64" s="185" t="s">
        <v>528</v>
      </c>
      <c r="D64" s="185" t="s">
        <v>528</v>
      </c>
      <c r="E64" s="185" t="s">
        <v>528</v>
      </c>
      <c r="F64" s="29">
        <v>0.4</v>
      </c>
      <c r="G64" s="29">
        <v>0.4</v>
      </c>
      <c r="H64" s="29">
        <v>0.4</v>
      </c>
      <c r="I64" s="29">
        <v>0.4</v>
      </c>
      <c r="J64" s="29" t="s">
        <v>294</v>
      </c>
      <c r="K64" s="29">
        <v>1</v>
      </c>
      <c r="L64" s="29">
        <v>1</v>
      </c>
      <c r="M64" s="29" t="s">
        <v>485</v>
      </c>
      <c r="N64" s="29" t="s">
        <v>486</v>
      </c>
      <c r="O64" s="29" t="s">
        <v>487</v>
      </c>
      <c r="P64" s="29" t="s">
        <v>487</v>
      </c>
      <c r="Q64" s="186">
        <v>1.01</v>
      </c>
      <c r="R64" s="186">
        <v>1.01</v>
      </c>
      <c r="S64" s="29">
        <v>2021</v>
      </c>
      <c r="T64" s="29" t="s">
        <v>294</v>
      </c>
      <c r="U64" s="29" t="s">
        <v>294</v>
      </c>
      <c r="V64" s="29" t="s">
        <v>488</v>
      </c>
      <c r="W64" s="29" t="s">
        <v>488</v>
      </c>
      <c r="X64" s="29" t="s">
        <v>489</v>
      </c>
      <c r="Y64" s="29" t="s">
        <v>489</v>
      </c>
      <c r="Z64" s="29" t="s">
        <v>489</v>
      </c>
      <c r="AA64" s="29" t="s">
        <v>489</v>
      </c>
    </row>
    <row r="65" spans="1:27" ht="47.25" x14ac:dyDescent="0.25">
      <c r="A65" s="184">
        <v>41</v>
      </c>
      <c r="B65" s="185" t="s">
        <v>529</v>
      </c>
      <c r="C65" s="185" t="s">
        <v>529</v>
      </c>
      <c r="D65" s="185" t="s">
        <v>529</v>
      </c>
      <c r="E65" s="185" t="s">
        <v>529</v>
      </c>
      <c r="F65" s="29">
        <v>0.4</v>
      </c>
      <c r="G65" s="29">
        <v>0.4</v>
      </c>
      <c r="H65" s="29">
        <v>0.4</v>
      </c>
      <c r="I65" s="29">
        <v>0.4</v>
      </c>
      <c r="J65" s="29" t="s">
        <v>294</v>
      </c>
      <c r="K65" s="29">
        <v>1</v>
      </c>
      <c r="L65" s="29">
        <v>1</v>
      </c>
      <c r="M65" s="29" t="s">
        <v>485</v>
      </c>
      <c r="N65" s="29" t="s">
        <v>486</v>
      </c>
      <c r="O65" s="29" t="s">
        <v>487</v>
      </c>
      <c r="P65" s="29" t="s">
        <v>487</v>
      </c>
      <c r="Q65" s="186">
        <v>1.2949999999999999</v>
      </c>
      <c r="R65" s="186">
        <v>1.2949999999999999</v>
      </c>
      <c r="S65" s="29">
        <v>2021</v>
      </c>
      <c r="T65" s="29" t="s">
        <v>294</v>
      </c>
      <c r="U65" s="29" t="s">
        <v>294</v>
      </c>
      <c r="V65" s="29" t="s">
        <v>488</v>
      </c>
      <c r="W65" s="29" t="s">
        <v>488</v>
      </c>
      <c r="X65" s="29" t="s">
        <v>489</v>
      </c>
      <c r="Y65" s="29" t="s">
        <v>489</v>
      </c>
      <c r="Z65" s="29" t="s">
        <v>489</v>
      </c>
      <c r="AA65" s="29" t="s">
        <v>489</v>
      </c>
    </row>
    <row r="66" spans="1:27" ht="47.25" x14ac:dyDescent="0.25">
      <c r="A66" s="184">
        <v>42</v>
      </c>
      <c r="B66" s="185" t="s">
        <v>530</v>
      </c>
      <c r="C66" s="185" t="s">
        <v>530</v>
      </c>
      <c r="D66" s="185" t="s">
        <v>530</v>
      </c>
      <c r="E66" s="185" t="s">
        <v>530</v>
      </c>
      <c r="F66" s="29">
        <v>0.4</v>
      </c>
      <c r="G66" s="29">
        <v>0.4</v>
      </c>
      <c r="H66" s="29">
        <v>0.4</v>
      </c>
      <c r="I66" s="29">
        <v>0.4</v>
      </c>
      <c r="J66" s="29" t="s">
        <v>294</v>
      </c>
      <c r="K66" s="29">
        <v>1</v>
      </c>
      <c r="L66" s="29">
        <v>1</v>
      </c>
      <c r="M66" s="29" t="s">
        <v>485</v>
      </c>
      <c r="N66" s="29" t="s">
        <v>486</v>
      </c>
      <c r="O66" s="29" t="s">
        <v>487</v>
      </c>
      <c r="P66" s="29" t="s">
        <v>487</v>
      </c>
      <c r="Q66" s="186">
        <v>1.61</v>
      </c>
      <c r="R66" s="186">
        <v>1.61</v>
      </c>
      <c r="S66" s="29">
        <v>2021</v>
      </c>
      <c r="T66" s="29" t="s">
        <v>294</v>
      </c>
      <c r="U66" s="29" t="s">
        <v>294</v>
      </c>
      <c r="V66" s="29" t="s">
        <v>488</v>
      </c>
      <c r="W66" s="29" t="s">
        <v>488</v>
      </c>
      <c r="X66" s="29" t="s">
        <v>489</v>
      </c>
      <c r="Y66" s="29" t="s">
        <v>489</v>
      </c>
      <c r="Z66" s="29" t="s">
        <v>489</v>
      </c>
      <c r="AA66" s="29" t="s">
        <v>489</v>
      </c>
    </row>
    <row r="67" spans="1:27" ht="47.25" x14ac:dyDescent="0.25">
      <c r="A67" s="184">
        <v>43</v>
      </c>
      <c r="B67" s="185" t="s">
        <v>531</v>
      </c>
      <c r="C67" s="185" t="s">
        <v>531</v>
      </c>
      <c r="D67" s="185" t="s">
        <v>531</v>
      </c>
      <c r="E67" s="185" t="s">
        <v>531</v>
      </c>
      <c r="F67" s="29">
        <v>0.4</v>
      </c>
      <c r="G67" s="29">
        <v>0.4</v>
      </c>
      <c r="H67" s="29">
        <v>0.4</v>
      </c>
      <c r="I67" s="29">
        <v>0.4</v>
      </c>
      <c r="J67" s="29" t="s">
        <v>294</v>
      </c>
      <c r="K67" s="29">
        <v>1</v>
      </c>
      <c r="L67" s="29">
        <v>1</v>
      </c>
      <c r="M67" s="29" t="s">
        <v>485</v>
      </c>
      <c r="N67" s="29" t="s">
        <v>486</v>
      </c>
      <c r="O67" s="29" t="s">
        <v>487</v>
      </c>
      <c r="P67" s="29" t="s">
        <v>487</v>
      </c>
      <c r="Q67" s="186">
        <v>1.33</v>
      </c>
      <c r="R67" s="186">
        <v>1.33</v>
      </c>
      <c r="S67" s="29">
        <v>2021</v>
      </c>
      <c r="T67" s="29" t="s">
        <v>294</v>
      </c>
      <c r="U67" s="29" t="s">
        <v>294</v>
      </c>
      <c r="V67" s="29" t="s">
        <v>488</v>
      </c>
      <c r="W67" s="29" t="s">
        <v>488</v>
      </c>
      <c r="X67" s="29" t="s">
        <v>489</v>
      </c>
      <c r="Y67" s="29" t="s">
        <v>489</v>
      </c>
      <c r="Z67" s="29" t="s">
        <v>489</v>
      </c>
      <c r="AA67" s="29" t="s">
        <v>489</v>
      </c>
    </row>
    <row r="68" spans="1:27" ht="47.25" x14ac:dyDescent="0.25">
      <c r="A68" s="184">
        <v>44</v>
      </c>
      <c r="B68" s="185" t="s">
        <v>532</v>
      </c>
      <c r="C68" s="185" t="s">
        <v>532</v>
      </c>
      <c r="D68" s="185" t="s">
        <v>532</v>
      </c>
      <c r="E68" s="185" t="s">
        <v>532</v>
      </c>
      <c r="F68" s="29">
        <v>0.4</v>
      </c>
      <c r="G68" s="29">
        <v>0.4</v>
      </c>
      <c r="H68" s="29">
        <v>0.4</v>
      </c>
      <c r="I68" s="29">
        <v>0.4</v>
      </c>
      <c r="J68" s="29" t="s">
        <v>294</v>
      </c>
      <c r="K68" s="29">
        <v>1</v>
      </c>
      <c r="L68" s="29">
        <v>1</v>
      </c>
      <c r="M68" s="29" t="s">
        <v>485</v>
      </c>
      <c r="N68" s="29" t="s">
        <v>486</v>
      </c>
      <c r="O68" s="29" t="s">
        <v>487</v>
      </c>
      <c r="P68" s="29" t="s">
        <v>487</v>
      </c>
      <c r="Q68" s="186">
        <v>3.335</v>
      </c>
      <c r="R68" s="186">
        <v>3.335</v>
      </c>
      <c r="S68" s="29">
        <v>2021</v>
      </c>
      <c r="T68" s="29" t="s">
        <v>294</v>
      </c>
      <c r="U68" s="29" t="s">
        <v>294</v>
      </c>
      <c r="V68" s="29" t="s">
        <v>488</v>
      </c>
      <c r="W68" s="29" t="s">
        <v>488</v>
      </c>
      <c r="X68" s="29" t="s">
        <v>489</v>
      </c>
      <c r="Y68" s="29" t="s">
        <v>489</v>
      </c>
      <c r="Z68" s="29" t="s">
        <v>489</v>
      </c>
      <c r="AA68" s="29" t="s">
        <v>489</v>
      </c>
    </row>
    <row r="69" spans="1:27" ht="47.25" x14ac:dyDescent="0.25">
      <c r="A69" s="184">
        <v>45</v>
      </c>
      <c r="B69" s="185" t="s">
        <v>533</v>
      </c>
      <c r="C69" s="185" t="s">
        <v>533</v>
      </c>
      <c r="D69" s="185" t="s">
        <v>533</v>
      </c>
      <c r="E69" s="185" t="s">
        <v>533</v>
      </c>
      <c r="F69" s="29">
        <v>0.4</v>
      </c>
      <c r="G69" s="29">
        <v>0.4</v>
      </c>
      <c r="H69" s="29">
        <v>0.4</v>
      </c>
      <c r="I69" s="29">
        <v>0.4</v>
      </c>
      <c r="J69" s="29" t="s">
        <v>294</v>
      </c>
      <c r="K69" s="29">
        <v>1</v>
      </c>
      <c r="L69" s="29">
        <v>1</v>
      </c>
      <c r="M69" s="29" t="s">
        <v>485</v>
      </c>
      <c r="N69" s="29" t="s">
        <v>486</v>
      </c>
      <c r="O69" s="29" t="s">
        <v>487</v>
      </c>
      <c r="P69" s="29" t="s">
        <v>487</v>
      </c>
      <c r="Q69" s="186">
        <v>1.4550000000000001</v>
      </c>
      <c r="R69" s="186">
        <v>1.4550000000000001</v>
      </c>
      <c r="S69" s="29">
        <v>2021</v>
      </c>
      <c r="T69" s="29" t="s">
        <v>294</v>
      </c>
      <c r="U69" s="29" t="s">
        <v>294</v>
      </c>
      <c r="V69" s="29" t="s">
        <v>488</v>
      </c>
      <c r="W69" s="29" t="s">
        <v>488</v>
      </c>
      <c r="X69" s="29" t="s">
        <v>489</v>
      </c>
      <c r="Y69" s="29" t="s">
        <v>489</v>
      </c>
      <c r="Z69" s="29" t="s">
        <v>489</v>
      </c>
      <c r="AA69" s="29" t="s">
        <v>489</v>
      </c>
    </row>
    <row r="70" spans="1:27" ht="47.25" x14ac:dyDescent="0.25">
      <c r="A70" s="184">
        <v>46</v>
      </c>
      <c r="B70" s="185" t="s">
        <v>534</v>
      </c>
      <c r="C70" s="185" t="s">
        <v>534</v>
      </c>
      <c r="D70" s="185" t="s">
        <v>534</v>
      </c>
      <c r="E70" s="185" t="s">
        <v>534</v>
      </c>
      <c r="F70" s="29">
        <v>0.4</v>
      </c>
      <c r="G70" s="29">
        <v>0.4</v>
      </c>
      <c r="H70" s="29">
        <v>0.4</v>
      </c>
      <c r="I70" s="29">
        <v>0.4</v>
      </c>
      <c r="J70" s="29" t="s">
        <v>294</v>
      </c>
      <c r="K70" s="29">
        <v>1</v>
      </c>
      <c r="L70" s="29">
        <v>1</v>
      </c>
      <c r="M70" s="29" t="s">
        <v>485</v>
      </c>
      <c r="N70" s="29" t="s">
        <v>486</v>
      </c>
      <c r="O70" s="29" t="s">
        <v>487</v>
      </c>
      <c r="P70" s="29" t="s">
        <v>487</v>
      </c>
      <c r="Q70" s="186">
        <v>2.52</v>
      </c>
      <c r="R70" s="186">
        <v>2.52</v>
      </c>
      <c r="S70" s="29">
        <v>2021</v>
      </c>
      <c r="T70" s="29" t="s">
        <v>294</v>
      </c>
      <c r="U70" s="29" t="s">
        <v>294</v>
      </c>
      <c r="V70" s="29" t="s">
        <v>488</v>
      </c>
      <c r="W70" s="29" t="s">
        <v>488</v>
      </c>
      <c r="X70" s="29" t="s">
        <v>489</v>
      </c>
      <c r="Y70" s="29" t="s">
        <v>489</v>
      </c>
      <c r="Z70" s="29" t="s">
        <v>489</v>
      </c>
      <c r="AA70" s="29" t="s">
        <v>489</v>
      </c>
    </row>
    <row r="71" spans="1:27" ht="47.25" x14ac:dyDescent="0.25">
      <c r="A71" s="184">
        <v>47</v>
      </c>
      <c r="B71" s="185" t="s">
        <v>535</v>
      </c>
      <c r="C71" s="185" t="s">
        <v>535</v>
      </c>
      <c r="D71" s="185" t="s">
        <v>535</v>
      </c>
      <c r="E71" s="185" t="s">
        <v>535</v>
      </c>
      <c r="F71" s="29">
        <v>0.4</v>
      </c>
      <c r="G71" s="29">
        <v>0.4</v>
      </c>
      <c r="H71" s="29">
        <v>0.4</v>
      </c>
      <c r="I71" s="29">
        <v>0.4</v>
      </c>
      <c r="J71" s="29" t="s">
        <v>294</v>
      </c>
      <c r="K71" s="29">
        <v>1</v>
      </c>
      <c r="L71" s="29">
        <v>1</v>
      </c>
      <c r="M71" s="29" t="s">
        <v>485</v>
      </c>
      <c r="N71" s="29" t="s">
        <v>486</v>
      </c>
      <c r="O71" s="29" t="s">
        <v>487</v>
      </c>
      <c r="P71" s="29" t="s">
        <v>487</v>
      </c>
      <c r="Q71" s="186">
        <v>1.905</v>
      </c>
      <c r="R71" s="186">
        <v>1.905</v>
      </c>
      <c r="S71" s="29">
        <v>2021</v>
      </c>
      <c r="T71" s="29" t="s">
        <v>294</v>
      </c>
      <c r="U71" s="29" t="s">
        <v>294</v>
      </c>
      <c r="V71" s="29" t="s">
        <v>488</v>
      </c>
      <c r="W71" s="29" t="s">
        <v>488</v>
      </c>
      <c r="X71" s="29" t="s">
        <v>489</v>
      </c>
      <c r="Y71" s="29" t="s">
        <v>489</v>
      </c>
      <c r="Z71" s="29" t="s">
        <v>489</v>
      </c>
      <c r="AA71" s="29" t="s">
        <v>489</v>
      </c>
    </row>
    <row r="72" spans="1:27" ht="47.25" x14ac:dyDescent="0.25">
      <c r="A72" s="184">
        <v>48</v>
      </c>
      <c r="B72" s="185" t="s">
        <v>536</v>
      </c>
      <c r="C72" s="185" t="s">
        <v>536</v>
      </c>
      <c r="D72" s="185" t="s">
        <v>536</v>
      </c>
      <c r="E72" s="185" t="s">
        <v>536</v>
      </c>
      <c r="F72" s="29">
        <v>0.4</v>
      </c>
      <c r="G72" s="29">
        <v>0.4</v>
      </c>
      <c r="H72" s="29">
        <v>0.4</v>
      </c>
      <c r="I72" s="29">
        <v>0.4</v>
      </c>
      <c r="J72" s="29" t="s">
        <v>294</v>
      </c>
      <c r="K72" s="29">
        <v>1</v>
      </c>
      <c r="L72" s="29">
        <v>1</v>
      </c>
      <c r="M72" s="29" t="s">
        <v>485</v>
      </c>
      <c r="N72" s="29" t="s">
        <v>486</v>
      </c>
      <c r="O72" s="29" t="s">
        <v>487</v>
      </c>
      <c r="P72" s="29" t="s">
        <v>487</v>
      </c>
      <c r="Q72" s="186">
        <v>1.425</v>
      </c>
      <c r="R72" s="186">
        <v>1.425</v>
      </c>
      <c r="S72" s="29">
        <v>2021</v>
      </c>
      <c r="T72" s="29" t="s">
        <v>294</v>
      </c>
      <c r="U72" s="29" t="s">
        <v>294</v>
      </c>
      <c r="V72" s="29" t="s">
        <v>488</v>
      </c>
      <c r="W72" s="29" t="s">
        <v>488</v>
      </c>
      <c r="X72" s="29" t="s">
        <v>489</v>
      </c>
      <c r="Y72" s="29" t="s">
        <v>489</v>
      </c>
      <c r="Z72" s="29" t="s">
        <v>489</v>
      </c>
      <c r="AA72" s="29" t="s">
        <v>489</v>
      </c>
    </row>
    <row r="73" spans="1:27" ht="47.25" x14ac:dyDescent="0.25">
      <c r="A73" s="184">
        <v>49</v>
      </c>
      <c r="B73" s="185" t="s">
        <v>537</v>
      </c>
      <c r="C73" s="185" t="s">
        <v>537</v>
      </c>
      <c r="D73" s="185" t="s">
        <v>537</v>
      </c>
      <c r="E73" s="185" t="s">
        <v>537</v>
      </c>
      <c r="F73" s="29">
        <v>0.4</v>
      </c>
      <c r="G73" s="29">
        <v>0.4</v>
      </c>
      <c r="H73" s="29">
        <v>0.4</v>
      </c>
      <c r="I73" s="29">
        <v>0.4</v>
      </c>
      <c r="J73" s="29" t="s">
        <v>294</v>
      </c>
      <c r="K73" s="29">
        <v>1</v>
      </c>
      <c r="L73" s="29">
        <v>1</v>
      </c>
      <c r="M73" s="29" t="s">
        <v>485</v>
      </c>
      <c r="N73" s="29" t="s">
        <v>486</v>
      </c>
      <c r="O73" s="29" t="s">
        <v>487</v>
      </c>
      <c r="P73" s="29" t="s">
        <v>487</v>
      </c>
      <c r="Q73" s="186">
        <v>2.04</v>
      </c>
      <c r="R73" s="186">
        <v>2.04</v>
      </c>
      <c r="S73" s="29">
        <v>2021</v>
      </c>
      <c r="T73" s="29" t="s">
        <v>294</v>
      </c>
      <c r="U73" s="29" t="s">
        <v>294</v>
      </c>
      <c r="V73" s="29" t="s">
        <v>488</v>
      </c>
      <c r="W73" s="29" t="s">
        <v>488</v>
      </c>
      <c r="X73" s="29" t="s">
        <v>489</v>
      </c>
      <c r="Y73" s="29" t="s">
        <v>489</v>
      </c>
      <c r="Z73" s="29" t="s">
        <v>489</v>
      </c>
      <c r="AA73" s="29" t="s">
        <v>489</v>
      </c>
    </row>
    <row r="74" spans="1:27" ht="47.25" x14ac:dyDescent="0.25">
      <c r="A74" s="184">
        <v>50</v>
      </c>
      <c r="B74" s="187" t="s">
        <v>294</v>
      </c>
      <c r="C74" s="185" t="s">
        <v>538</v>
      </c>
      <c r="D74" s="187" t="s">
        <v>294</v>
      </c>
      <c r="E74" s="185" t="s">
        <v>538</v>
      </c>
      <c r="F74" s="188">
        <v>10</v>
      </c>
      <c r="G74" s="188">
        <v>10</v>
      </c>
      <c r="H74" s="188">
        <v>10</v>
      </c>
      <c r="I74" s="188">
        <v>10</v>
      </c>
      <c r="J74" s="29" t="s">
        <v>294</v>
      </c>
      <c r="K74" s="29" t="s">
        <v>294</v>
      </c>
      <c r="L74" s="29">
        <v>1</v>
      </c>
      <c r="M74" s="29" t="s">
        <v>294</v>
      </c>
      <c r="N74" s="29" t="s">
        <v>539</v>
      </c>
      <c r="O74" s="188" t="s">
        <v>294</v>
      </c>
      <c r="P74" s="188" t="s">
        <v>487</v>
      </c>
      <c r="Q74" s="188" t="s">
        <v>294</v>
      </c>
      <c r="R74" s="186">
        <v>0.25</v>
      </c>
      <c r="S74" s="29">
        <v>2021</v>
      </c>
      <c r="T74" s="29" t="s">
        <v>294</v>
      </c>
      <c r="U74" s="29" t="s">
        <v>294</v>
      </c>
      <c r="V74" s="29" t="s">
        <v>294</v>
      </c>
      <c r="W74" s="29" t="s">
        <v>540</v>
      </c>
      <c r="X74" s="29" t="s">
        <v>489</v>
      </c>
      <c r="Y74" s="29" t="s">
        <v>489</v>
      </c>
      <c r="Z74" s="29" t="s">
        <v>489</v>
      </c>
      <c r="AA74" s="29" t="s">
        <v>489</v>
      </c>
    </row>
    <row r="75" spans="1:27" ht="47.25" x14ac:dyDescent="0.25">
      <c r="A75" s="184">
        <v>51</v>
      </c>
      <c r="B75" s="187" t="s">
        <v>294</v>
      </c>
      <c r="C75" s="185" t="s">
        <v>541</v>
      </c>
      <c r="D75" s="187" t="s">
        <v>294</v>
      </c>
      <c r="E75" s="185" t="s">
        <v>541</v>
      </c>
      <c r="F75" s="188">
        <v>10</v>
      </c>
      <c r="G75" s="188">
        <v>10</v>
      </c>
      <c r="H75" s="188">
        <v>10</v>
      </c>
      <c r="I75" s="188">
        <v>10</v>
      </c>
      <c r="J75" s="29" t="s">
        <v>294</v>
      </c>
      <c r="K75" s="29" t="s">
        <v>294</v>
      </c>
      <c r="L75" s="29">
        <v>1</v>
      </c>
      <c r="M75" s="29" t="s">
        <v>294</v>
      </c>
      <c r="N75" s="29" t="s">
        <v>539</v>
      </c>
      <c r="O75" s="188" t="s">
        <v>294</v>
      </c>
      <c r="P75" s="188" t="s">
        <v>487</v>
      </c>
      <c r="Q75" s="188" t="s">
        <v>294</v>
      </c>
      <c r="R75" s="186">
        <v>0.33</v>
      </c>
      <c r="S75" s="29">
        <v>2021</v>
      </c>
      <c r="T75" s="29" t="s">
        <v>294</v>
      </c>
      <c r="U75" s="29" t="s">
        <v>294</v>
      </c>
      <c r="V75" s="29" t="s">
        <v>294</v>
      </c>
      <c r="W75" s="29" t="s">
        <v>540</v>
      </c>
      <c r="X75" s="29" t="s">
        <v>489</v>
      </c>
      <c r="Y75" s="29" t="s">
        <v>489</v>
      </c>
      <c r="Z75" s="29" t="s">
        <v>489</v>
      </c>
      <c r="AA75" s="29" t="s">
        <v>489</v>
      </c>
    </row>
    <row r="76" spans="1:27" ht="47.25" x14ac:dyDescent="0.25">
      <c r="A76" s="184">
        <v>52</v>
      </c>
      <c r="B76" s="187" t="s">
        <v>294</v>
      </c>
      <c r="C76" s="185" t="s">
        <v>542</v>
      </c>
      <c r="D76" s="187" t="s">
        <v>294</v>
      </c>
      <c r="E76" s="185" t="s">
        <v>542</v>
      </c>
      <c r="F76" s="188">
        <v>10</v>
      </c>
      <c r="G76" s="188">
        <v>10</v>
      </c>
      <c r="H76" s="188">
        <v>10</v>
      </c>
      <c r="I76" s="188">
        <v>10</v>
      </c>
      <c r="J76" s="29" t="s">
        <v>294</v>
      </c>
      <c r="K76" s="29" t="s">
        <v>294</v>
      </c>
      <c r="L76" s="29">
        <v>1</v>
      </c>
      <c r="M76" s="29" t="s">
        <v>294</v>
      </c>
      <c r="N76" s="29" t="s">
        <v>539</v>
      </c>
      <c r="O76" s="188" t="s">
        <v>294</v>
      </c>
      <c r="P76" s="188" t="s">
        <v>487</v>
      </c>
      <c r="Q76" s="188" t="s">
        <v>294</v>
      </c>
      <c r="R76" s="186">
        <v>0.441</v>
      </c>
      <c r="S76" s="29">
        <v>2021</v>
      </c>
      <c r="T76" s="29" t="s">
        <v>294</v>
      </c>
      <c r="U76" s="29" t="s">
        <v>294</v>
      </c>
      <c r="V76" s="29" t="s">
        <v>294</v>
      </c>
      <c r="W76" s="29" t="s">
        <v>540</v>
      </c>
      <c r="X76" s="29" t="s">
        <v>489</v>
      </c>
      <c r="Y76" s="29" t="s">
        <v>489</v>
      </c>
      <c r="Z76" s="29" t="s">
        <v>489</v>
      </c>
      <c r="AA76" s="29" t="s">
        <v>489</v>
      </c>
    </row>
    <row r="77" spans="1:27" ht="47.25" x14ac:dyDescent="0.25">
      <c r="A77" s="184">
        <v>53</v>
      </c>
      <c r="B77" s="187" t="s">
        <v>294</v>
      </c>
      <c r="C77" s="185" t="s">
        <v>543</v>
      </c>
      <c r="D77" s="187" t="s">
        <v>294</v>
      </c>
      <c r="E77" s="185" t="s">
        <v>543</v>
      </c>
      <c r="F77" s="188">
        <v>10</v>
      </c>
      <c r="G77" s="188">
        <v>10</v>
      </c>
      <c r="H77" s="188">
        <v>10</v>
      </c>
      <c r="I77" s="188">
        <v>10</v>
      </c>
      <c r="J77" s="29" t="s">
        <v>294</v>
      </c>
      <c r="K77" s="29" t="s">
        <v>294</v>
      </c>
      <c r="L77" s="29">
        <v>1</v>
      </c>
      <c r="M77" s="29" t="s">
        <v>294</v>
      </c>
      <c r="N77" s="29" t="s">
        <v>539</v>
      </c>
      <c r="O77" s="188" t="s">
        <v>294</v>
      </c>
      <c r="P77" s="188" t="s">
        <v>487</v>
      </c>
      <c r="Q77" s="188" t="s">
        <v>294</v>
      </c>
      <c r="R77" s="186">
        <v>0.42</v>
      </c>
      <c r="S77" s="29">
        <v>2021</v>
      </c>
      <c r="T77" s="29" t="s">
        <v>294</v>
      </c>
      <c r="U77" s="29" t="s">
        <v>294</v>
      </c>
      <c r="V77" s="29" t="s">
        <v>294</v>
      </c>
      <c r="W77" s="29" t="s">
        <v>540</v>
      </c>
      <c r="X77" s="29" t="s">
        <v>489</v>
      </c>
      <c r="Y77" s="29" t="s">
        <v>489</v>
      </c>
      <c r="Z77" s="29" t="s">
        <v>489</v>
      </c>
      <c r="AA77" s="29" t="s">
        <v>489</v>
      </c>
    </row>
    <row r="78" spans="1:27" ht="47.25" x14ac:dyDescent="0.25">
      <c r="A78" s="184">
        <v>54</v>
      </c>
      <c r="B78" s="187" t="s">
        <v>294</v>
      </c>
      <c r="C78" s="185" t="s">
        <v>544</v>
      </c>
      <c r="D78" s="187" t="s">
        <v>294</v>
      </c>
      <c r="E78" s="185" t="s">
        <v>544</v>
      </c>
      <c r="F78" s="188">
        <v>10</v>
      </c>
      <c r="G78" s="188">
        <v>10</v>
      </c>
      <c r="H78" s="188">
        <v>10</v>
      </c>
      <c r="I78" s="188">
        <v>10</v>
      </c>
      <c r="J78" s="29" t="s">
        <v>294</v>
      </c>
      <c r="K78" s="29" t="s">
        <v>294</v>
      </c>
      <c r="L78" s="29">
        <v>1</v>
      </c>
      <c r="M78" s="29" t="s">
        <v>294</v>
      </c>
      <c r="N78" s="29" t="s">
        <v>539</v>
      </c>
      <c r="O78" s="188" t="s">
        <v>294</v>
      </c>
      <c r="P78" s="188" t="s">
        <v>487</v>
      </c>
      <c r="Q78" s="188" t="s">
        <v>294</v>
      </c>
      <c r="R78" s="186">
        <v>0.4</v>
      </c>
      <c r="S78" s="29">
        <v>2021</v>
      </c>
      <c r="T78" s="29" t="s">
        <v>294</v>
      </c>
      <c r="U78" s="29" t="s">
        <v>294</v>
      </c>
      <c r="V78" s="29" t="s">
        <v>294</v>
      </c>
      <c r="W78" s="29" t="s">
        <v>540</v>
      </c>
      <c r="X78" s="29" t="s">
        <v>489</v>
      </c>
      <c r="Y78" s="29" t="s">
        <v>489</v>
      </c>
      <c r="Z78" s="29" t="s">
        <v>489</v>
      </c>
      <c r="AA78" s="29" t="s">
        <v>489</v>
      </c>
    </row>
    <row r="79" spans="1:27" ht="47.25" x14ac:dyDescent="0.25">
      <c r="A79" s="184">
        <v>55</v>
      </c>
      <c r="B79" s="187" t="s">
        <v>294</v>
      </c>
      <c r="C79" s="185" t="s">
        <v>545</v>
      </c>
      <c r="D79" s="187" t="s">
        <v>294</v>
      </c>
      <c r="E79" s="185" t="s">
        <v>545</v>
      </c>
      <c r="F79" s="188">
        <v>10</v>
      </c>
      <c r="G79" s="188">
        <v>10</v>
      </c>
      <c r="H79" s="188">
        <v>10</v>
      </c>
      <c r="I79" s="188">
        <v>10</v>
      </c>
      <c r="J79" s="29" t="s">
        <v>294</v>
      </c>
      <c r="K79" s="29" t="s">
        <v>294</v>
      </c>
      <c r="L79" s="29">
        <v>1</v>
      </c>
      <c r="M79" s="29" t="s">
        <v>294</v>
      </c>
      <c r="N79" s="29" t="s">
        <v>539</v>
      </c>
      <c r="O79" s="188" t="s">
        <v>294</v>
      </c>
      <c r="P79" s="188" t="s">
        <v>487</v>
      </c>
      <c r="Q79" s="188" t="s">
        <v>294</v>
      </c>
      <c r="R79" s="186">
        <v>0.7</v>
      </c>
      <c r="S79" s="29">
        <v>2021</v>
      </c>
      <c r="T79" s="29" t="s">
        <v>294</v>
      </c>
      <c r="U79" s="29" t="s">
        <v>294</v>
      </c>
      <c r="V79" s="29" t="s">
        <v>294</v>
      </c>
      <c r="W79" s="29" t="s">
        <v>540</v>
      </c>
      <c r="X79" s="29" t="s">
        <v>489</v>
      </c>
      <c r="Y79" s="29" t="s">
        <v>489</v>
      </c>
      <c r="Z79" s="29" t="s">
        <v>489</v>
      </c>
      <c r="AA79" s="29" t="s">
        <v>489</v>
      </c>
    </row>
    <row r="80" spans="1:27" ht="47.25" x14ac:dyDescent="0.25">
      <c r="A80" s="184">
        <v>56</v>
      </c>
      <c r="B80" s="187" t="s">
        <v>294</v>
      </c>
      <c r="C80" s="185" t="s">
        <v>546</v>
      </c>
      <c r="D80" s="187" t="s">
        <v>294</v>
      </c>
      <c r="E80" s="185" t="s">
        <v>546</v>
      </c>
      <c r="F80" s="188">
        <v>10</v>
      </c>
      <c r="G80" s="188">
        <v>10</v>
      </c>
      <c r="H80" s="188">
        <v>10</v>
      </c>
      <c r="I80" s="188">
        <v>10</v>
      </c>
      <c r="J80" s="29" t="s">
        <v>294</v>
      </c>
      <c r="K80" s="29" t="s">
        <v>294</v>
      </c>
      <c r="L80" s="29">
        <v>1</v>
      </c>
      <c r="M80" s="29" t="s">
        <v>294</v>
      </c>
      <c r="N80" s="29" t="s">
        <v>539</v>
      </c>
      <c r="O80" s="188" t="s">
        <v>294</v>
      </c>
      <c r="P80" s="188" t="s">
        <v>487</v>
      </c>
      <c r="Q80" s="188" t="s">
        <v>294</v>
      </c>
      <c r="R80" s="186">
        <v>0.4</v>
      </c>
      <c r="S80" s="29">
        <v>2021</v>
      </c>
      <c r="T80" s="29" t="s">
        <v>294</v>
      </c>
      <c r="U80" s="29" t="s">
        <v>294</v>
      </c>
      <c r="V80" s="29" t="s">
        <v>294</v>
      </c>
      <c r="W80" s="29" t="s">
        <v>540</v>
      </c>
      <c r="X80" s="29" t="s">
        <v>489</v>
      </c>
      <c r="Y80" s="29" t="s">
        <v>489</v>
      </c>
      <c r="Z80" s="29" t="s">
        <v>489</v>
      </c>
      <c r="AA80" s="29" t="s">
        <v>489</v>
      </c>
    </row>
    <row r="81" spans="1:27" ht="47.25" x14ac:dyDescent="0.25">
      <c r="A81" s="184">
        <v>57</v>
      </c>
      <c r="B81" s="187" t="s">
        <v>294</v>
      </c>
      <c r="C81" s="185" t="s">
        <v>547</v>
      </c>
      <c r="D81" s="187" t="s">
        <v>294</v>
      </c>
      <c r="E81" s="185" t="s">
        <v>547</v>
      </c>
      <c r="F81" s="188">
        <v>10</v>
      </c>
      <c r="G81" s="188">
        <v>10</v>
      </c>
      <c r="H81" s="188">
        <v>10</v>
      </c>
      <c r="I81" s="188">
        <v>10</v>
      </c>
      <c r="J81" s="29" t="s">
        <v>294</v>
      </c>
      <c r="K81" s="29" t="s">
        <v>294</v>
      </c>
      <c r="L81" s="29">
        <v>1</v>
      </c>
      <c r="M81" s="29" t="s">
        <v>294</v>
      </c>
      <c r="N81" s="29" t="s">
        <v>539</v>
      </c>
      <c r="O81" s="188" t="s">
        <v>294</v>
      </c>
      <c r="P81" s="188" t="s">
        <v>487</v>
      </c>
      <c r="Q81" s="188" t="s">
        <v>294</v>
      </c>
      <c r="R81" s="186">
        <v>0.65</v>
      </c>
      <c r="S81" s="29">
        <v>2021</v>
      </c>
      <c r="T81" s="29" t="s">
        <v>294</v>
      </c>
      <c r="U81" s="29" t="s">
        <v>294</v>
      </c>
      <c r="V81" s="29" t="s">
        <v>294</v>
      </c>
      <c r="W81" s="29" t="s">
        <v>540</v>
      </c>
      <c r="X81" s="29" t="s">
        <v>489</v>
      </c>
      <c r="Y81" s="29" t="s">
        <v>489</v>
      </c>
      <c r="Z81" s="29" t="s">
        <v>489</v>
      </c>
      <c r="AA81" s="29" t="s">
        <v>489</v>
      </c>
    </row>
    <row r="82" spans="1:27" ht="47.25" x14ac:dyDescent="0.25">
      <c r="A82" s="184">
        <v>58</v>
      </c>
      <c r="B82" s="187" t="s">
        <v>294</v>
      </c>
      <c r="C82" s="185" t="s">
        <v>548</v>
      </c>
      <c r="D82" s="187" t="s">
        <v>294</v>
      </c>
      <c r="E82" s="185" t="s">
        <v>548</v>
      </c>
      <c r="F82" s="188">
        <v>10</v>
      </c>
      <c r="G82" s="188">
        <v>10</v>
      </c>
      <c r="H82" s="188">
        <v>10</v>
      </c>
      <c r="I82" s="188">
        <v>10</v>
      </c>
      <c r="J82" s="29" t="s">
        <v>294</v>
      </c>
      <c r="K82" s="29" t="s">
        <v>294</v>
      </c>
      <c r="L82" s="29">
        <v>1</v>
      </c>
      <c r="M82" s="29" t="s">
        <v>294</v>
      </c>
      <c r="N82" s="29" t="s">
        <v>539</v>
      </c>
      <c r="O82" s="188" t="s">
        <v>294</v>
      </c>
      <c r="P82" s="188" t="s">
        <v>487</v>
      </c>
      <c r="Q82" s="188" t="s">
        <v>294</v>
      </c>
      <c r="R82" s="186">
        <v>0.4</v>
      </c>
      <c r="S82" s="29">
        <v>2021</v>
      </c>
      <c r="T82" s="29" t="s">
        <v>294</v>
      </c>
      <c r="U82" s="29" t="s">
        <v>294</v>
      </c>
      <c r="V82" s="29" t="s">
        <v>294</v>
      </c>
      <c r="W82" s="29" t="s">
        <v>540</v>
      </c>
      <c r="X82" s="29" t="s">
        <v>489</v>
      </c>
      <c r="Y82" s="29" t="s">
        <v>489</v>
      </c>
      <c r="Z82" s="29" t="s">
        <v>489</v>
      </c>
      <c r="AA82" s="29" t="s">
        <v>489</v>
      </c>
    </row>
    <row r="83" spans="1:27" ht="47.25" x14ac:dyDescent="0.25">
      <c r="A83" s="184">
        <v>59</v>
      </c>
      <c r="B83" s="187" t="s">
        <v>294</v>
      </c>
      <c r="C83" s="185" t="s">
        <v>549</v>
      </c>
      <c r="D83" s="187" t="s">
        <v>294</v>
      </c>
      <c r="E83" s="185" t="s">
        <v>549</v>
      </c>
      <c r="F83" s="188">
        <v>10</v>
      </c>
      <c r="G83" s="188">
        <v>10</v>
      </c>
      <c r="H83" s="188">
        <v>10</v>
      </c>
      <c r="I83" s="188">
        <v>10</v>
      </c>
      <c r="J83" s="29" t="s">
        <v>294</v>
      </c>
      <c r="K83" s="29" t="s">
        <v>294</v>
      </c>
      <c r="L83" s="29">
        <v>1</v>
      </c>
      <c r="M83" s="29" t="s">
        <v>294</v>
      </c>
      <c r="N83" s="29" t="s">
        <v>539</v>
      </c>
      <c r="O83" s="188" t="s">
        <v>294</v>
      </c>
      <c r="P83" s="188" t="s">
        <v>487</v>
      </c>
      <c r="Q83" s="188" t="s">
        <v>294</v>
      </c>
      <c r="R83" s="186">
        <v>0.2</v>
      </c>
      <c r="S83" s="29">
        <v>2021</v>
      </c>
      <c r="T83" s="29" t="s">
        <v>294</v>
      </c>
      <c r="U83" s="29" t="s">
        <v>294</v>
      </c>
      <c r="V83" s="29" t="s">
        <v>294</v>
      </c>
      <c r="W83" s="29" t="s">
        <v>540</v>
      </c>
      <c r="X83" s="29" t="s">
        <v>489</v>
      </c>
      <c r="Y83" s="29" t="s">
        <v>489</v>
      </c>
      <c r="Z83" s="29" t="s">
        <v>489</v>
      </c>
      <c r="AA83" s="29" t="s">
        <v>489</v>
      </c>
    </row>
    <row r="84" spans="1:27" ht="47.25" x14ac:dyDescent="0.25">
      <c r="A84" s="184">
        <v>60</v>
      </c>
      <c r="B84" s="187" t="s">
        <v>294</v>
      </c>
      <c r="C84" s="185" t="s">
        <v>550</v>
      </c>
      <c r="D84" s="187" t="s">
        <v>294</v>
      </c>
      <c r="E84" s="185" t="s">
        <v>550</v>
      </c>
      <c r="F84" s="188">
        <v>10</v>
      </c>
      <c r="G84" s="188">
        <v>10</v>
      </c>
      <c r="H84" s="188">
        <v>10</v>
      </c>
      <c r="I84" s="188">
        <v>10</v>
      </c>
      <c r="J84" s="29" t="s">
        <v>294</v>
      </c>
      <c r="K84" s="29" t="s">
        <v>294</v>
      </c>
      <c r="L84" s="29">
        <v>1</v>
      </c>
      <c r="M84" s="29" t="s">
        <v>294</v>
      </c>
      <c r="N84" s="29" t="s">
        <v>539</v>
      </c>
      <c r="O84" s="188" t="s">
        <v>294</v>
      </c>
      <c r="P84" s="188" t="s">
        <v>487</v>
      </c>
      <c r="Q84" s="188" t="s">
        <v>294</v>
      </c>
      <c r="R84" s="186">
        <v>2.5000000000000001E-2</v>
      </c>
      <c r="S84" s="29">
        <v>2021</v>
      </c>
      <c r="T84" s="29" t="s">
        <v>294</v>
      </c>
      <c r="U84" s="29" t="s">
        <v>294</v>
      </c>
      <c r="V84" s="29" t="s">
        <v>294</v>
      </c>
      <c r="W84" s="29" t="s">
        <v>540</v>
      </c>
      <c r="X84" s="29" t="s">
        <v>489</v>
      </c>
      <c r="Y84" s="29" t="s">
        <v>489</v>
      </c>
      <c r="Z84" s="29" t="s">
        <v>489</v>
      </c>
      <c r="AA84" s="29" t="s">
        <v>489</v>
      </c>
    </row>
    <row r="85" spans="1:27" ht="47.25" x14ac:dyDescent="0.25">
      <c r="A85" s="184">
        <v>61</v>
      </c>
      <c r="B85" s="187" t="s">
        <v>294</v>
      </c>
      <c r="C85" s="185" t="s">
        <v>551</v>
      </c>
      <c r="D85" s="187" t="s">
        <v>294</v>
      </c>
      <c r="E85" s="185" t="s">
        <v>551</v>
      </c>
      <c r="F85" s="188">
        <v>10</v>
      </c>
      <c r="G85" s="188">
        <v>10</v>
      </c>
      <c r="H85" s="188">
        <v>10</v>
      </c>
      <c r="I85" s="188">
        <v>10</v>
      </c>
      <c r="J85" s="29" t="s">
        <v>294</v>
      </c>
      <c r="K85" s="29" t="s">
        <v>294</v>
      </c>
      <c r="L85" s="29">
        <v>1</v>
      </c>
      <c r="M85" s="29" t="s">
        <v>294</v>
      </c>
      <c r="N85" s="29" t="s">
        <v>539</v>
      </c>
      <c r="O85" s="188" t="s">
        <v>294</v>
      </c>
      <c r="P85" s="188" t="s">
        <v>487</v>
      </c>
      <c r="Q85" s="188" t="s">
        <v>294</v>
      </c>
      <c r="R85" s="186">
        <v>0.185</v>
      </c>
      <c r="S85" s="29">
        <v>2021</v>
      </c>
      <c r="T85" s="29" t="s">
        <v>294</v>
      </c>
      <c r="U85" s="29" t="s">
        <v>294</v>
      </c>
      <c r="V85" s="29" t="s">
        <v>294</v>
      </c>
      <c r="W85" s="29" t="s">
        <v>540</v>
      </c>
      <c r="X85" s="29" t="s">
        <v>489</v>
      </c>
      <c r="Y85" s="29" t="s">
        <v>489</v>
      </c>
      <c r="Z85" s="29" t="s">
        <v>489</v>
      </c>
      <c r="AA85" s="29" t="s">
        <v>489</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2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55" zoomScaleNormal="100" zoomScaleSheetLayoutView="55" workbookViewId="0">
      <selection activeCell="C30" sqref="C30"/>
    </sheetView>
  </sheetViews>
  <sheetFormatPr defaultColWidth="9.140625" defaultRowHeight="15" x14ac:dyDescent="0.25"/>
  <cols>
    <col min="1" max="1" width="6.140625" style="117" customWidth="1"/>
    <col min="2" max="2" width="53.5703125" style="117" customWidth="1"/>
    <col min="3" max="3" width="120.8554687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75" customFormat="1" ht="18.75" customHeight="1" x14ac:dyDescent="0.2">
      <c r="A1" s="19"/>
      <c r="C1" s="16" t="s">
        <v>22</v>
      </c>
    </row>
    <row r="2" spans="1:29" s="75" customFormat="1" ht="18.75" customHeight="1" x14ac:dyDescent="0.3">
      <c r="A2" s="19"/>
      <c r="C2" s="14" t="s">
        <v>6</v>
      </c>
    </row>
    <row r="3" spans="1:29" s="75" customFormat="1" ht="18.75" x14ac:dyDescent="0.3">
      <c r="A3" s="13"/>
      <c r="C3" s="14" t="s">
        <v>21</v>
      </c>
    </row>
    <row r="4" spans="1:29" s="75" customFormat="1" ht="18.75" x14ac:dyDescent="0.3">
      <c r="A4" s="13"/>
      <c r="C4" s="14"/>
    </row>
    <row r="5" spans="1:29" s="75" customFormat="1" ht="15.75" x14ac:dyDescent="0.2">
      <c r="A5" s="239" t="str">
        <f>'1. паспорт местоположение'!$A$5</f>
        <v>Год раскрытия информации: 2025 год</v>
      </c>
      <c r="B5" s="239"/>
      <c r="C5" s="239"/>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s="75" customFormat="1" ht="18.75" x14ac:dyDescent="0.3">
      <c r="A6" s="13"/>
      <c r="G6" s="14"/>
    </row>
    <row r="7" spans="1:29" s="75" customFormat="1" ht="18.75" x14ac:dyDescent="0.2">
      <c r="A7" s="243" t="s">
        <v>5</v>
      </c>
      <c r="B7" s="243"/>
      <c r="C7" s="243"/>
      <c r="D7" s="17"/>
      <c r="E7" s="17"/>
      <c r="F7" s="17"/>
      <c r="G7" s="17"/>
      <c r="H7" s="17"/>
      <c r="I7" s="17"/>
      <c r="J7" s="17"/>
      <c r="K7" s="17"/>
      <c r="L7" s="17"/>
      <c r="M7" s="17"/>
      <c r="N7" s="17"/>
      <c r="O7" s="17"/>
      <c r="P7" s="17"/>
      <c r="Q7" s="17"/>
      <c r="R7" s="17"/>
      <c r="S7" s="17"/>
      <c r="T7" s="17"/>
      <c r="U7" s="17"/>
    </row>
    <row r="8" spans="1:29" s="75" customFormat="1" ht="18.75" x14ac:dyDescent="0.2">
      <c r="A8" s="243"/>
      <c r="B8" s="243"/>
      <c r="C8" s="243"/>
      <c r="D8" s="80"/>
      <c r="E8" s="80"/>
      <c r="F8" s="80"/>
      <c r="G8" s="80"/>
      <c r="H8" s="17"/>
      <c r="I8" s="17"/>
      <c r="J8" s="17"/>
      <c r="K8" s="17"/>
      <c r="L8" s="17"/>
      <c r="M8" s="17"/>
      <c r="N8" s="17"/>
      <c r="O8" s="17"/>
      <c r="P8" s="17"/>
      <c r="Q8" s="17"/>
      <c r="R8" s="17"/>
      <c r="S8" s="17"/>
      <c r="T8" s="17"/>
      <c r="U8" s="17"/>
    </row>
    <row r="9" spans="1:29" s="75" customFormat="1" ht="18.75" x14ac:dyDescent="0.2">
      <c r="A9" s="244" t="s">
        <v>264</v>
      </c>
      <c r="B9" s="244"/>
      <c r="C9" s="244"/>
      <c r="D9" s="18"/>
      <c r="E9" s="18"/>
      <c r="F9" s="18"/>
      <c r="G9" s="18"/>
      <c r="H9" s="17"/>
      <c r="I9" s="17"/>
      <c r="J9" s="17"/>
      <c r="K9" s="17"/>
      <c r="L9" s="17"/>
      <c r="M9" s="17"/>
      <c r="N9" s="17"/>
      <c r="O9" s="17"/>
      <c r="P9" s="17"/>
      <c r="Q9" s="17"/>
      <c r="R9" s="17"/>
      <c r="S9" s="17"/>
      <c r="T9" s="17"/>
      <c r="U9" s="17"/>
    </row>
    <row r="10" spans="1:29" s="75" customFormat="1" ht="18.75" x14ac:dyDescent="0.2">
      <c r="A10" s="249" t="s">
        <v>4</v>
      </c>
      <c r="B10" s="249"/>
      <c r="C10" s="249"/>
      <c r="D10" s="15"/>
      <c r="E10" s="15"/>
      <c r="F10" s="15"/>
      <c r="G10" s="15"/>
      <c r="H10" s="17"/>
      <c r="I10" s="17"/>
      <c r="J10" s="17"/>
      <c r="K10" s="17"/>
      <c r="L10" s="17"/>
      <c r="M10" s="17"/>
      <c r="N10" s="17"/>
      <c r="O10" s="17"/>
      <c r="P10" s="17"/>
      <c r="Q10" s="17"/>
      <c r="R10" s="17"/>
      <c r="S10" s="17"/>
      <c r="T10" s="17"/>
      <c r="U10" s="17"/>
    </row>
    <row r="11" spans="1:29" s="75" customFormat="1" ht="18.75" x14ac:dyDescent="0.2">
      <c r="A11" s="243"/>
      <c r="B11" s="243"/>
      <c r="C11" s="243"/>
      <c r="D11" s="80"/>
      <c r="E11" s="80"/>
      <c r="F11" s="80"/>
      <c r="G11" s="80"/>
      <c r="H11" s="17"/>
      <c r="I11" s="17"/>
      <c r="J11" s="17"/>
      <c r="K11" s="17"/>
      <c r="L11" s="17"/>
      <c r="M11" s="17"/>
      <c r="N11" s="17"/>
      <c r="O11" s="17"/>
      <c r="P11" s="17"/>
      <c r="Q11" s="17"/>
      <c r="R11" s="17"/>
      <c r="S11" s="17"/>
      <c r="T11" s="17"/>
      <c r="U11" s="17"/>
    </row>
    <row r="12" spans="1:29" s="75" customFormat="1" ht="18.75" x14ac:dyDescent="0.2">
      <c r="A12" s="244" t="str">
        <f>'1. паспорт местоположение'!$A$12</f>
        <v>L_Che367</v>
      </c>
      <c r="B12" s="244"/>
      <c r="C12" s="244"/>
      <c r="D12" s="18"/>
      <c r="E12" s="18"/>
      <c r="F12" s="18"/>
      <c r="G12" s="18"/>
      <c r="H12" s="17"/>
      <c r="I12" s="17"/>
      <c r="J12" s="17"/>
      <c r="K12" s="17"/>
      <c r="L12" s="17"/>
      <c r="M12" s="17"/>
      <c r="N12" s="17"/>
      <c r="O12" s="17"/>
      <c r="P12" s="17"/>
      <c r="Q12" s="17"/>
      <c r="R12" s="17"/>
      <c r="S12" s="17"/>
      <c r="T12" s="17"/>
      <c r="U12" s="17"/>
    </row>
    <row r="13" spans="1:29" s="75" customFormat="1" ht="18.75" x14ac:dyDescent="0.2">
      <c r="A13" s="249" t="s">
        <v>3</v>
      </c>
      <c r="B13" s="249"/>
      <c r="C13" s="249"/>
      <c r="D13" s="15"/>
      <c r="E13" s="15"/>
      <c r="F13" s="15"/>
      <c r="G13" s="15"/>
      <c r="H13" s="17"/>
      <c r="I13" s="17"/>
      <c r="J13" s="17"/>
      <c r="K13" s="17"/>
      <c r="L13" s="17"/>
      <c r="M13" s="17"/>
      <c r="N13" s="17"/>
      <c r="O13" s="17"/>
      <c r="P13" s="17"/>
      <c r="Q13" s="17"/>
      <c r="R13" s="17"/>
      <c r="S13" s="17"/>
      <c r="T13" s="17"/>
      <c r="U13" s="17"/>
    </row>
    <row r="14" spans="1:29" s="78" customFormat="1" ht="15.75" customHeight="1" x14ac:dyDescent="0.2">
      <c r="A14" s="251"/>
      <c r="B14" s="251"/>
      <c r="C14" s="251"/>
      <c r="D14" s="1"/>
      <c r="E14" s="1"/>
      <c r="F14" s="1"/>
      <c r="G14" s="1"/>
      <c r="H14" s="1"/>
      <c r="I14" s="1"/>
      <c r="J14" s="1"/>
      <c r="K14" s="1"/>
      <c r="L14" s="1"/>
      <c r="M14" s="1"/>
      <c r="N14" s="1"/>
      <c r="O14" s="1"/>
      <c r="P14" s="1"/>
      <c r="Q14" s="1"/>
      <c r="R14" s="1"/>
      <c r="S14" s="1"/>
      <c r="T14" s="1"/>
      <c r="U14" s="1"/>
    </row>
    <row r="15" spans="1:29" s="25" customFormat="1" ht="87.75" customHeight="1" x14ac:dyDescent="0.2">
      <c r="A15" s="250"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50"/>
      <c r="C15" s="250"/>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9" t="s">
        <v>2</v>
      </c>
      <c r="B16" s="249"/>
      <c r="C16" s="249"/>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2"/>
      <c r="B17" s="252"/>
      <c r="C17" s="252"/>
      <c r="D17" s="76"/>
      <c r="E17" s="76"/>
      <c r="F17" s="76"/>
      <c r="G17" s="76"/>
      <c r="H17" s="76"/>
      <c r="I17" s="76"/>
      <c r="J17" s="76"/>
      <c r="K17" s="76"/>
      <c r="L17" s="76"/>
      <c r="M17" s="76"/>
      <c r="N17" s="76"/>
      <c r="O17" s="76"/>
      <c r="P17" s="76"/>
      <c r="Q17" s="76"/>
      <c r="R17" s="76"/>
    </row>
    <row r="18" spans="1:21" s="25" customFormat="1" ht="27.75" customHeight="1" x14ac:dyDescent="0.2">
      <c r="A18" s="253" t="s">
        <v>241</v>
      </c>
      <c r="B18" s="253"/>
      <c r="C18" s="253"/>
      <c r="D18" s="108"/>
      <c r="E18" s="108"/>
      <c r="F18" s="108"/>
      <c r="G18" s="108"/>
      <c r="H18" s="108"/>
      <c r="I18" s="108"/>
      <c r="J18" s="108"/>
      <c r="K18" s="108"/>
      <c r="L18" s="108"/>
      <c r="M18" s="108"/>
      <c r="N18" s="108"/>
      <c r="O18" s="108"/>
      <c r="P18" s="108"/>
      <c r="Q18" s="108"/>
      <c r="R18" s="108"/>
      <c r="S18" s="108"/>
      <c r="T18" s="108"/>
      <c r="U18" s="108"/>
    </row>
    <row r="19" spans="1:21" s="25" customFormat="1" ht="15" customHeight="1" x14ac:dyDescent="0.2">
      <c r="A19" s="15"/>
      <c r="B19" s="15"/>
      <c r="C19" s="15"/>
      <c r="D19" s="15"/>
      <c r="E19" s="15"/>
      <c r="F19" s="15"/>
      <c r="G19" s="15"/>
      <c r="H19" s="76"/>
      <c r="I19" s="76"/>
      <c r="J19" s="76"/>
      <c r="K19" s="76"/>
      <c r="L19" s="76"/>
      <c r="M19" s="76"/>
      <c r="N19" s="76"/>
      <c r="O19" s="76"/>
      <c r="P19" s="76"/>
      <c r="Q19" s="76"/>
      <c r="R19" s="76"/>
    </row>
    <row r="20" spans="1:21" s="25" customFormat="1" ht="39.75" customHeight="1" x14ac:dyDescent="0.2">
      <c r="A20" s="125" t="s">
        <v>1</v>
      </c>
      <c r="B20" s="114" t="s">
        <v>20</v>
      </c>
      <c r="C20" s="113" t="s">
        <v>19</v>
      </c>
      <c r="D20" s="126"/>
      <c r="E20" s="126"/>
      <c r="F20" s="126"/>
      <c r="G20" s="126"/>
      <c r="H20" s="1"/>
      <c r="I20" s="1"/>
      <c r="J20" s="1"/>
      <c r="K20" s="1"/>
      <c r="L20" s="1"/>
      <c r="M20" s="1"/>
      <c r="N20" s="1"/>
      <c r="O20" s="1"/>
      <c r="P20" s="1"/>
      <c r="Q20" s="1"/>
      <c r="R20" s="1"/>
      <c r="S20" s="112"/>
      <c r="T20" s="112"/>
      <c r="U20" s="112"/>
    </row>
    <row r="21" spans="1:21" s="25" customFormat="1" ht="16.5" customHeight="1" x14ac:dyDescent="0.2">
      <c r="A21" s="113">
        <v>1</v>
      </c>
      <c r="B21" s="114">
        <v>2</v>
      </c>
      <c r="C21" s="113">
        <v>3</v>
      </c>
      <c r="D21" s="126"/>
      <c r="E21" s="126"/>
      <c r="F21" s="126"/>
      <c r="G21" s="126"/>
      <c r="H21" s="1"/>
      <c r="I21" s="1"/>
      <c r="J21" s="1"/>
      <c r="K21" s="1"/>
      <c r="L21" s="1"/>
      <c r="M21" s="1"/>
      <c r="N21" s="1"/>
      <c r="O21" s="1"/>
      <c r="P21" s="1"/>
      <c r="Q21" s="1"/>
      <c r="R21" s="1"/>
      <c r="S21" s="112"/>
      <c r="T21" s="112"/>
      <c r="U21" s="112"/>
    </row>
    <row r="22" spans="1:21" s="25" customFormat="1" ht="129.75" customHeight="1" x14ac:dyDescent="0.2">
      <c r="A22" s="115" t="s">
        <v>18</v>
      </c>
      <c r="B22" s="67" t="s">
        <v>247</v>
      </c>
      <c r="C22" s="127" t="s">
        <v>638</v>
      </c>
      <c r="D22" s="126"/>
      <c r="E22" s="126"/>
      <c r="F22" s="1"/>
      <c r="G22" s="1"/>
      <c r="H22" s="1"/>
      <c r="I22" s="1"/>
      <c r="J22" s="1"/>
      <c r="K22" s="1"/>
      <c r="L22" s="1"/>
      <c r="M22" s="1"/>
      <c r="N22" s="1"/>
      <c r="O22" s="1"/>
      <c r="P22" s="1"/>
      <c r="Q22" s="112"/>
      <c r="R22" s="112"/>
      <c r="S22" s="112"/>
      <c r="T22" s="112"/>
      <c r="U22" s="112"/>
    </row>
    <row r="23" spans="1:21" ht="342" customHeight="1" x14ac:dyDescent="0.25">
      <c r="A23" s="115" t="s">
        <v>17</v>
      </c>
      <c r="B23" s="128" t="s">
        <v>14</v>
      </c>
      <c r="C23" s="11" t="s">
        <v>639</v>
      </c>
      <c r="D23" s="116"/>
      <c r="E23" s="116"/>
      <c r="F23" s="116"/>
      <c r="G23" s="116"/>
      <c r="H23" s="116"/>
      <c r="I23" s="116"/>
      <c r="J23" s="116"/>
      <c r="K23" s="116"/>
      <c r="L23" s="116"/>
      <c r="M23" s="116"/>
      <c r="N23" s="116"/>
      <c r="O23" s="116"/>
      <c r="P23" s="116"/>
      <c r="Q23" s="116"/>
      <c r="R23" s="116"/>
      <c r="S23" s="116"/>
      <c r="T23" s="116"/>
      <c r="U23" s="116"/>
    </row>
    <row r="24" spans="1:21" ht="408.75" customHeight="1" x14ac:dyDescent="0.25">
      <c r="A24" s="115" t="s">
        <v>16</v>
      </c>
      <c r="B24" s="128" t="s">
        <v>259</v>
      </c>
      <c r="C24" s="163" t="s">
        <v>483</v>
      </c>
      <c r="D24" s="116"/>
      <c r="E24" s="116"/>
      <c r="F24" s="116"/>
      <c r="G24" s="116"/>
      <c r="H24" s="116"/>
      <c r="I24" s="116"/>
      <c r="J24" s="116"/>
      <c r="K24" s="116"/>
      <c r="L24" s="116"/>
      <c r="M24" s="116"/>
      <c r="N24" s="116"/>
      <c r="O24" s="116"/>
      <c r="P24" s="116"/>
      <c r="Q24" s="116"/>
      <c r="R24" s="116"/>
      <c r="S24" s="116"/>
      <c r="T24" s="116"/>
      <c r="U24" s="116"/>
    </row>
    <row r="25" spans="1:21" ht="63" customHeight="1" x14ac:dyDescent="0.25">
      <c r="A25" s="115" t="s">
        <v>15</v>
      </c>
      <c r="B25" s="128" t="s">
        <v>260</v>
      </c>
      <c r="C25" s="129" t="s">
        <v>640</v>
      </c>
      <c r="D25" s="130" t="str">
        <f>IF(('6.2. Паспорт фин осв ввод'!D54)&gt;0,(ROUND(('6.2. Паспорт фин осв ввод'!D52/'6.2. Паспорт фин осв ввод'!D54),2)&amp;"млн.руб./МВА "),"-")</f>
        <v xml:space="preserve">15,54млн.руб./МВА </v>
      </c>
      <c r="E25" s="131" t="str">
        <f>IF(('6.2. Паспорт фин осв ввод'!D56)&gt;0,(ROUND(('6.2. Паспорт фин осв ввод'!D52/'6.2. Паспорт фин осв ввод'!D56),2)&amp;" млн.руб./км"),"-")</f>
        <v>1,69 млн.руб./км</v>
      </c>
      <c r="F25" s="116"/>
      <c r="G25" s="116"/>
      <c r="H25" s="116"/>
      <c r="I25" s="116"/>
      <c r="J25" s="116"/>
      <c r="K25" s="116"/>
      <c r="L25" s="116"/>
      <c r="M25" s="116"/>
      <c r="N25" s="116"/>
      <c r="O25" s="116"/>
      <c r="P25" s="116"/>
      <c r="Q25" s="116"/>
      <c r="R25" s="116"/>
      <c r="S25" s="116"/>
      <c r="T25" s="116"/>
      <c r="U25" s="116"/>
    </row>
    <row r="26" spans="1:21" ht="42.75" customHeight="1" x14ac:dyDescent="0.25">
      <c r="A26" s="115" t="s">
        <v>13</v>
      </c>
      <c r="B26" s="128" t="s">
        <v>142</v>
      </c>
      <c r="C26" s="125" t="s">
        <v>447</v>
      </c>
      <c r="D26" s="116"/>
      <c r="E26" s="116"/>
      <c r="F26" s="116"/>
      <c r="G26" s="116"/>
      <c r="H26" s="116"/>
      <c r="I26" s="116"/>
      <c r="J26" s="116"/>
      <c r="K26" s="116"/>
      <c r="L26" s="116"/>
      <c r="M26" s="116"/>
      <c r="N26" s="116"/>
      <c r="O26" s="116"/>
      <c r="P26" s="116"/>
      <c r="Q26" s="116"/>
      <c r="R26" s="116"/>
      <c r="S26" s="116"/>
      <c r="T26" s="116"/>
      <c r="U26" s="116"/>
    </row>
    <row r="27" spans="1:21" ht="268.5" customHeight="1" x14ac:dyDescent="0.25">
      <c r="A27" s="115" t="s">
        <v>12</v>
      </c>
      <c r="B27" s="128" t="s">
        <v>248</v>
      </c>
      <c r="C27" s="163" t="s">
        <v>482</v>
      </c>
      <c r="D27" s="116"/>
      <c r="E27" s="116"/>
      <c r="F27" s="116"/>
      <c r="G27" s="116"/>
      <c r="H27" s="116"/>
      <c r="I27" s="116"/>
      <c r="J27" s="116"/>
      <c r="K27" s="116"/>
      <c r="L27" s="116"/>
      <c r="M27" s="116"/>
      <c r="N27" s="116"/>
      <c r="O27" s="116"/>
      <c r="P27" s="116"/>
      <c r="Q27" s="116"/>
      <c r="R27" s="116"/>
      <c r="S27" s="116"/>
      <c r="T27" s="116"/>
      <c r="U27" s="116"/>
    </row>
    <row r="28" spans="1:21" ht="42.75" customHeight="1" x14ac:dyDescent="0.25">
      <c r="A28" s="115" t="s">
        <v>10</v>
      </c>
      <c r="B28" s="128" t="s">
        <v>11</v>
      </c>
      <c r="C28" s="70">
        <v>2019</v>
      </c>
      <c r="D28" s="116"/>
      <c r="E28" s="116"/>
      <c r="F28" s="116"/>
      <c r="G28" s="116"/>
      <c r="H28" s="116"/>
      <c r="I28" s="116"/>
      <c r="J28" s="116"/>
      <c r="K28" s="116"/>
      <c r="L28" s="116"/>
      <c r="M28" s="116"/>
      <c r="N28" s="116"/>
      <c r="O28" s="116"/>
      <c r="P28" s="116"/>
      <c r="Q28" s="116"/>
      <c r="R28" s="116"/>
      <c r="S28" s="116"/>
      <c r="T28" s="116"/>
      <c r="U28" s="116"/>
    </row>
    <row r="29" spans="1:21" ht="42.75" customHeight="1" x14ac:dyDescent="0.25">
      <c r="A29" s="115" t="s">
        <v>8</v>
      </c>
      <c r="B29" s="125" t="s">
        <v>9</v>
      </c>
      <c r="C29" s="70">
        <v>2022</v>
      </c>
      <c r="D29" s="116"/>
      <c r="E29" s="116"/>
      <c r="F29" s="116"/>
      <c r="G29" s="116"/>
      <c r="H29" s="116"/>
      <c r="I29" s="116"/>
      <c r="J29" s="116"/>
      <c r="K29" s="116"/>
      <c r="L29" s="116"/>
      <c r="M29" s="116"/>
      <c r="N29" s="116"/>
      <c r="O29" s="116"/>
      <c r="P29" s="116"/>
      <c r="Q29" s="116"/>
      <c r="R29" s="116"/>
      <c r="S29" s="116"/>
      <c r="T29" s="116"/>
      <c r="U29" s="116"/>
    </row>
    <row r="30" spans="1:21" ht="42.75" customHeight="1" x14ac:dyDescent="0.25">
      <c r="A30" s="115" t="s">
        <v>26</v>
      </c>
      <c r="B30" s="125" t="s">
        <v>7</v>
      </c>
      <c r="C30" s="132" t="s">
        <v>437</v>
      </c>
      <c r="D30" s="116"/>
      <c r="E30" s="116"/>
      <c r="F30" s="116"/>
      <c r="G30" s="116"/>
      <c r="H30" s="116"/>
      <c r="I30" s="116"/>
      <c r="J30" s="116"/>
      <c r="K30" s="116"/>
      <c r="L30" s="116"/>
      <c r="M30" s="116"/>
      <c r="N30" s="116"/>
      <c r="O30" s="116"/>
      <c r="P30" s="116"/>
      <c r="Q30" s="116"/>
      <c r="R30" s="116"/>
      <c r="S30" s="116"/>
      <c r="T30" s="116"/>
      <c r="U30" s="116"/>
    </row>
    <row r="31" spans="1:21" x14ac:dyDescent="0.25">
      <c r="A31" s="116"/>
      <c r="B31" s="116"/>
      <c r="C31" s="116"/>
      <c r="D31" s="116"/>
      <c r="E31" s="116"/>
      <c r="F31" s="116"/>
      <c r="G31" s="116"/>
      <c r="H31" s="116"/>
      <c r="I31" s="116"/>
      <c r="J31" s="116"/>
      <c r="K31" s="116"/>
      <c r="L31" s="116"/>
      <c r="M31" s="116"/>
      <c r="N31" s="116"/>
      <c r="O31" s="116"/>
      <c r="P31" s="116"/>
      <c r="Q31" s="116"/>
      <c r="R31" s="116"/>
      <c r="S31" s="116"/>
      <c r="T31" s="116"/>
      <c r="U31" s="116"/>
    </row>
    <row r="32" spans="1:21" x14ac:dyDescent="0.25">
      <c r="A32" s="116"/>
      <c r="B32" s="116"/>
      <c r="C32" s="116"/>
      <c r="D32" s="116"/>
      <c r="E32" s="116"/>
      <c r="F32" s="116"/>
      <c r="G32" s="116"/>
      <c r="H32" s="116"/>
      <c r="I32" s="116"/>
      <c r="J32" s="116"/>
      <c r="K32" s="116"/>
      <c r="L32" s="116"/>
      <c r="M32" s="116"/>
      <c r="N32" s="116"/>
      <c r="O32" s="116"/>
      <c r="P32" s="116"/>
      <c r="Q32" s="116"/>
      <c r="R32" s="116"/>
      <c r="S32" s="116"/>
      <c r="T32" s="116"/>
      <c r="U32" s="116"/>
    </row>
    <row r="33" spans="1:21" x14ac:dyDescent="0.25">
      <c r="A33" s="116"/>
      <c r="B33" s="116"/>
      <c r="C33" s="116"/>
      <c r="D33" s="116"/>
      <c r="E33" s="116"/>
      <c r="F33" s="116"/>
      <c r="G33" s="116"/>
      <c r="H33" s="116"/>
      <c r="I33" s="116"/>
      <c r="J33" s="116"/>
      <c r="K33" s="116"/>
      <c r="L33" s="116"/>
      <c r="M33" s="116"/>
      <c r="N33" s="116"/>
      <c r="O33" s="116"/>
      <c r="P33" s="116"/>
      <c r="Q33" s="116"/>
      <c r="R33" s="116"/>
      <c r="S33" s="116"/>
      <c r="T33" s="116"/>
      <c r="U33" s="116"/>
    </row>
    <row r="34" spans="1:21" x14ac:dyDescent="0.25">
      <c r="A34" s="116"/>
      <c r="B34" s="116"/>
      <c r="C34" s="116"/>
      <c r="D34" s="116"/>
      <c r="E34" s="116"/>
      <c r="F34" s="116"/>
      <c r="G34" s="116"/>
      <c r="H34" s="116"/>
      <c r="I34" s="116"/>
      <c r="J34" s="116"/>
      <c r="K34" s="116"/>
      <c r="L34" s="116"/>
      <c r="M34" s="116"/>
      <c r="N34" s="116"/>
      <c r="O34" s="116"/>
      <c r="P34" s="116"/>
      <c r="Q34" s="116"/>
      <c r="R34" s="116"/>
      <c r="S34" s="116"/>
      <c r="T34" s="116"/>
      <c r="U34" s="116"/>
    </row>
    <row r="35" spans="1:21" x14ac:dyDescent="0.25">
      <c r="A35" s="116"/>
      <c r="B35" s="116"/>
      <c r="C35" s="116"/>
      <c r="D35" s="116"/>
      <c r="E35" s="116"/>
      <c r="F35" s="116"/>
      <c r="G35" s="116"/>
      <c r="H35" s="116"/>
      <c r="I35" s="116"/>
      <c r="J35" s="116"/>
      <c r="K35" s="116"/>
      <c r="L35" s="116"/>
      <c r="M35" s="116"/>
      <c r="N35" s="116"/>
      <c r="O35" s="116"/>
      <c r="P35" s="116"/>
      <c r="Q35" s="116"/>
      <c r="R35" s="116"/>
      <c r="S35" s="116"/>
      <c r="T35" s="116"/>
      <c r="U35" s="116"/>
    </row>
    <row r="36" spans="1:21" x14ac:dyDescent="0.25">
      <c r="A36" s="116"/>
      <c r="B36" s="116"/>
      <c r="C36" s="116"/>
      <c r="D36" s="116"/>
      <c r="E36" s="116"/>
      <c r="F36" s="116"/>
      <c r="G36" s="116"/>
      <c r="H36" s="116"/>
      <c r="I36" s="116"/>
      <c r="J36" s="116"/>
      <c r="K36" s="116"/>
      <c r="L36" s="116"/>
      <c r="M36" s="116"/>
      <c r="N36" s="116"/>
      <c r="O36" s="116"/>
      <c r="P36" s="116"/>
      <c r="Q36" s="116"/>
      <c r="R36" s="116"/>
      <c r="S36" s="116"/>
      <c r="T36" s="116"/>
      <c r="U36" s="116"/>
    </row>
    <row r="37" spans="1:21" x14ac:dyDescent="0.25">
      <c r="A37" s="116"/>
      <c r="B37" s="116"/>
      <c r="C37" s="116"/>
      <c r="D37" s="116"/>
      <c r="E37" s="116"/>
      <c r="F37" s="116"/>
      <c r="G37" s="116"/>
      <c r="H37" s="116"/>
      <c r="I37" s="116"/>
      <c r="J37" s="116"/>
      <c r="K37" s="116"/>
      <c r="L37" s="116"/>
      <c r="M37" s="116"/>
      <c r="N37" s="116"/>
      <c r="O37" s="116"/>
      <c r="P37" s="116"/>
      <c r="Q37" s="116"/>
      <c r="R37" s="116"/>
      <c r="S37" s="116"/>
      <c r="T37" s="116"/>
      <c r="U37" s="116"/>
    </row>
    <row r="38" spans="1:21" x14ac:dyDescent="0.25">
      <c r="A38" s="116"/>
      <c r="B38" s="116"/>
      <c r="C38" s="116"/>
      <c r="D38" s="116"/>
      <c r="E38" s="116"/>
      <c r="F38" s="116"/>
      <c r="G38" s="116"/>
      <c r="H38" s="116"/>
      <c r="I38" s="116"/>
      <c r="J38" s="116"/>
      <c r="K38" s="116"/>
      <c r="L38" s="116"/>
      <c r="M38" s="116"/>
      <c r="N38" s="116"/>
      <c r="O38" s="116"/>
      <c r="P38" s="116"/>
      <c r="Q38" s="116"/>
      <c r="R38" s="116"/>
      <c r="S38" s="116"/>
      <c r="T38" s="116"/>
      <c r="U38" s="116"/>
    </row>
    <row r="39" spans="1:21" x14ac:dyDescent="0.25">
      <c r="A39" s="116"/>
      <c r="B39" s="116"/>
      <c r="C39" s="116"/>
      <c r="D39" s="116"/>
      <c r="E39" s="116"/>
      <c r="F39" s="116"/>
      <c r="G39" s="116"/>
      <c r="H39" s="116"/>
      <c r="I39" s="116"/>
      <c r="J39" s="116"/>
      <c r="K39" s="116"/>
      <c r="L39" s="116"/>
      <c r="M39" s="116"/>
      <c r="N39" s="116"/>
      <c r="O39" s="116"/>
      <c r="P39" s="116"/>
      <c r="Q39" s="116"/>
      <c r="R39" s="116"/>
      <c r="S39" s="116"/>
      <c r="T39" s="116"/>
      <c r="U39" s="116"/>
    </row>
    <row r="40" spans="1:21" x14ac:dyDescent="0.25">
      <c r="A40" s="116"/>
      <c r="B40" s="116"/>
      <c r="C40" s="116"/>
      <c r="D40" s="116"/>
      <c r="E40" s="116"/>
      <c r="F40" s="116"/>
      <c r="G40" s="116"/>
      <c r="H40" s="116"/>
      <c r="I40" s="116"/>
      <c r="J40" s="116"/>
      <c r="K40" s="116"/>
      <c r="L40" s="116"/>
      <c r="M40" s="116"/>
      <c r="N40" s="116"/>
      <c r="O40" s="116"/>
      <c r="P40" s="116"/>
      <c r="Q40" s="116"/>
      <c r="R40" s="116"/>
      <c r="S40" s="116"/>
      <c r="T40" s="116"/>
      <c r="U40" s="116"/>
    </row>
    <row r="41" spans="1:21" x14ac:dyDescent="0.25">
      <c r="A41" s="116"/>
      <c r="B41" s="116"/>
      <c r="C41" s="116"/>
      <c r="D41" s="116"/>
      <c r="E41" s="116"/>
      <c r="F41" s="116"/>
      <c r="G41" s="116"/>
      <c r="H41" s="116"/>
      <c r="I41" s="116"/>
      <c r="J41" s="116"/>
      <c r="K41" s="116"/>
      <c r="L41" s="116"/>
      <c r="M41" s="116"/>
      <c r="N41" s="116"/>
      <c r="O41" s="116"/>
      <c r="P41" s="116"/>
      <c r="Q41" s="116"/>
      <c r="R41" s="116"/>
      <c r="S41" s="116"/>
      <c r="T41" s="116"/>
      <c r="U41" s="116"/>
    </row>
    <row r="42" spans="1:21" x14ac:dyDescent="0.25">
      <c r="A42" s="116"/>
      <c r="B42" s="116"/>
      <c r="C42" s="116"/>
      <c r="D42" s="116"/>
      <c r="E42" s="116"/>
      <c r="F42" s="116"/>
      <c r="G42" s="116"/>
      <c r="H42" s="116"/>
      <c r="I42" s="116"/>
      <c r="J42" s="116"/>
      <c r="K42" s="116"/>
      <c r="L42" s="116"/>
      <c r="M42" s="116"/>
      <c r="N42" s="116"/>
      <c r="O42" s="116"/>
      <c r="P42" s="116"/>
      <c r="Q42" s="116"/>
      <c r="R42" s="116"/>
      <c r="S42" s="116"/>
      <c r="T42" s="116"/>
      <c r="U42" s="116"/>
    </row>
    <row r="43" spans="1:21" x14ac:dyDescent="0.25">
      <c r="A43" s="116"/>
      <c r="B43" s="116"/>
      <c r="C43" s="116"/>
      <c r="D43" s="116"/>
      <c r="E43" s="116"/>
      <c r="F43" s="116"/>
      <c r="G43" s="116"/>
      <c r="H43" s="116"/>
      <c r="I43" s="116"/>
      <c r="J43" s="116"/>
      <c r="K43" s="116"/>
      <c r="L43" s="116"/>
      <c r="M43" s="116"/>
      <c r="N43" s="116"/>
      <c r="O43" s="116"/>
      <c r="P43" s="116"/>
      <c r="Q43" s="116"/>
      <c r="R43" s="116"/>
      <c r="S43" s="116"/>
      <c r="T43" s="116"/>
      <c r="U43" s="116"/>
    </row>
    <row r="44" spans="1:21" x14ac:dyDescent="0.25">
      <c r="A44" s="116"/>
      <c r="B44" s="116"/>
      <c r="C44" s="116"/>
      <c r="D44" s="116"/>
      <c r="E44" s="116"/>
      <c r="F44" s="116"/>
      <c r="G44" s="116"/>
      <c r="H44" s="116"/>
      <c r="I44" s="116"/>
      <c r="J44" s="116"/>
      <c r="K44" s="116"/>
      <c r="L44" s="116"/>
      <c r="M44" s="116"/>
      <c r="N44" s="116"/>
      <c r="O44" s="116"/>
      <c r="P44" s="116"/>
      <c r="Q44" s="116"/>
      <c r="R44" s="116"/>
      <c r="S44" s="116"/>
      <c r="T44" s="116"/>
      <c r="U44" s="116"/>
    </row>
    <row r="45" spans="1:21" x14ac:dyDescent="0.25">
      <c r="A45" s="116"/>
      <c r="B45" s="116"/>
      <c r="C45" s="116"/>
      <c r="D45" s="116"/>
      <c r="E45" s="116"/>
      <c r="F45" s="116"/>
      <c r="G45" s="116"/>
      <c r="H45" s="116"/>
      <c r="I45" s="116"/>
      <c r="J45" s="116"/>
      <c r="K45" s="116"/>
      <c r="L45" s="116"/>
      <c r="M45" s="116"/>
      <c r="N45" s="116"/>
      <c r="O45" s="116"/>
      <c r="P45" s="116"/>
      <c r="Q45" s="116"/>
      <c r="R45" s="116"/>
      <c r="S45" s="116"/>
      <c r="T45" s="116"/>
      <c r="U45" s="116"/>
    </row>
    <row r="46" spans="1:21" x14ac:dyDescent="0.25">
      <c r="A46" s="116"/>
      <c r="B46" s="116"/>
      <c r="C46" s="116"/>
      <c r="D46" s="116"/>
      <c r="E46" s="116"/>
      <c r="F46" s="116"/>
      <c r="G46" s="116"/>
      <c r="H46" s="116"/>
      <c r="I46" s="116"/>
      <c r="J46" s="116"/>
      <c r="K46" s="116"/>
      <c r="L46" s="116"/>
      <c r="M46" s="116"/>
      <c r="N46" s="116"/>
      <c r="O46" s="116"/>
      <c r="P46" s="116"/>
      <c r="Q46" s="116"/>
      <c r="R46" s="116"/>
      <c r="S46" s="116"/>
      <c r="T46" s="116"/>
      <c r="U46" s="116"/>
    </row>
    <row r="47" spans="1:21" x14ac:dyDescent="0.25">
      <c r="A47" s="116"/>
      <c r="B47" s="116"/>
      <c r="C47" s="116"/>
      <c r="D47" s="116"/>
      <c r="E47" s="116"/>
      <c r="F47" s="116"/>
      <c r="G47" s="116"/>
      <c r="H47" s="116"/>
      <c r="I47" s="116"/>
      <c r="J47" s="116"/>
      <c r="K47" s="116"/>
      <c r="L47" s="116"/>
      <c r="M47" s="116"/>
      <c r="N47" s="116"/>
      <c r="O47" s="116"/>
      <c r="P47" s="116"/>
      <c r="Q47" s="116"/>
      <c r="R47" s="116"/>
      <c r="S47" s="116"/>
      <c r="T47" s="116"/>
      <c r="U47" s="116"/>
    </row>
    <row r="48" spans="1:21" x14ac:dyDescent="0.25">
      <c r="A48" s="116"/>
      <c r="B48" s="116"/>
      <c r="C48" s="116"/>
      <c r="D48" s="116"/>
      <c r="E48" s="116"/>
      <c r="F48" s="116"/>
      <c r="G48" s="116"/>
      <c r="H48" s="116"/>
      <c r="I48" s="116"/>
      <c r="J48" s="116"/>
      <c r="K48" s="116"/>
      <c r="L48" s="116"/>
      <c r="M48" s="116"/>
      <c r="N48" s="116"/>
      <c r="O48" s="116"/>
      <c r="P48" s="116"/>
      <c r="Q48" s="116"/>
      <c r="R48" s="116"/>
      <c r="S48" s="116"/>
      <c r="T48" s="116"/>
      <c r="U48" s="116"/>
    </row>
    <row r="49" spans="1:21" x14ac:dyDescent="0.25">
      <c r="A49" s="116"/>
      <c r="B49" s="116"/>
      <c r="C49" s="116"/>
      <c r="D49" s="116"/>
      <c r="E49" s="116"/>
      <c r="F49" s="116"/>
      <c r="G49" s="116"/>
      <c r="H49" s="116"/>
      <c r="I49" s="116"/>
      <c r="J49" s="116"/>
      <c r="K49" s="116"/>
      <c r="L49" s="116"/>
      <c r="M49" s="116"/>
      <c r="N49" s="116"/>
      <c r="O49" s="116"/>
      <c r="P49" s="116"/>
      <c r="Q49" s="116"/>
      <c r="R49" s="116"/>
      <c r="S49" s="116"/>
      <c r="T49" s="116"/>
      <c r="U49" s="116"/>
    </row>
    <row r="50" spans="1:21" x14ac:dyDescent="0.25">
      <c r="A50" s="116"/>
      <c r="B50" s="116"/>
      <c r="C50" s="116"/>
      <c r="D50" s="116"/>
      <c r="E50" s="116"/>
      <c r="F50" s="116"/>
      <c r="G50" s="116"/>
      <c r="H50" s="116"/>
      <c r="I50" s="116"/>
      <c r="J50" s="116"/>
      <c r="K50" s="116"/>
      <c r="L50" s="116"/>
      <c r="M50" s="116"/>
      <c r="N50" s="116"/>
      <c r="O50" s="116"/>
      <c r="P50" s="116"/>
      <c r="Q50" s="116"/>
      <c r="R50" s="116"/>
      <c r="S50" s="116"/>
      <c r="T50" s="116"/>
      <c r="U50" s="116"/>
    </row>
    <row r="51" spans="1:21" x14ac:dyDescent="0.25">
      <c r="A51" s="116"/>
      <c r="B51" s="116"/>
      <c r="C51" s="116"/>
      <c r="D51" s="116"/>
      <c r="E51" s="116"/>
      <c r="F51" s="116"/>
      <c r="G51" s="116"/>
      <c r="H51" s="116"/>
      <c r="I51" s="116"/>
      <c r="J51" s="116"/>
      <c r="K51" s="116"/>
      <c r="L51" s="116"/>
      <c r="M51" s="116"/>
      <c r="N51" s="116"/>
      <c r="O51" s="116"/>
      <c r="P51" s="116"/>
      <c r="Q51" s="116"/>
      <c r="R51" s="116"/>
      <c r="S51" s="116"/>
      <c r="T51" s="116"/>
      <c r="U51" s="116"/>
    </row>
    <row r="52" spans="1:21" x14ac:dyDescent="0.25">
      <c r="A52" s="116"/>
      <c r="B52" s="116"/>
      <c r="C52" s="116"/>
      <c r="D52" s="116"/>
      <c r="E52" s="116"/>
      <c r="F52" s="116"/>
      <c r="G52" s="116"/>
      <c r="H52" s="116"/>
      <c r="I52" s="116"/>
      <c r="J52" s="116"/>
      <c r="K52" s="116"/>
      <c r="L52" s="116"/>
      <c r="M52" s="116"/>
      <c r="N52" s="116"/>
      <c r="O52" s="116"/>
      <c r="P52" s="116"/>
      <c r="Q52" s="116"/>
      <c r="R52" s="116"/>
      <c r="S52" s="116"/>
      <c r="T52" s="116"/>
      <c r="U52" s="116"/>
    </row>
    <row r="53" spans="1:21" x14ac:dyDescent="0.25">
      <c r="A53" s="116"/>
      <c r="B53" s="116"/>
      <c r="C53" s="116"/>
      <c r="D53" s="116"/>
      <c r="E53" s="116"/>
      <c r="F53" s="116"/>
      <c r="G53" s="116"/>
      <c r="H53" s="116"/>
      <c r="I53" s="116"/>
      <c r="J53" s="116"/>
      <c r="K53" s="116"/>
      <c r="L53" s="116"/>
      <c r="M53" s="116"/>
      <c r="N53" s="116"/>
      <c r="O53" s="116"/>
      <c r="P53" s="116"/>
      <c r="Q53" s="116"/>
      <c r="R53" s="116"/>
      <c r="S53" s="116"/>
      <c r="T53" s="116"/>
      <c r="U53" s="116"/>
    </row>
    <row r="54" spans="1:21" x14ac:dyDescent="0.25">
      <c r="A54" s="116"/>
      <c r="B54" s="116"/>
      <c r="C54" s="116"/>
      <c r="D54" s="116"/>
      <c r="E54" s="116"/>
      <c r="F54" s="116"/>
      <c r="G54" s="116"/>
      <c r="H54" s="116"/>
      <c r="I54" s="116"/>
      <c r="J54" s="116"/>
      <c r="K54" s="116"/>
      <c r="L54" s="116"/>
      <c r="M54" s="116"/>
      <c r="N54" s="116"/>
      <c r="O54" s="116"/>
      <c r="P54" s="116"/>
      <c r="Q54" s="116"/>
      <c r="R54" s="116"/>
      <c r="S54" s="116"/>
      <c r="T54" s="116"/>
      <c r="U54" s="116"/>
    </row>
    <row r="55" spans="1:21" x14ac:dyDescent="0.25">
      <c r="A55" s="116"/>
      <c r="B55" s="116"/>
      <c r="C55" s="116"/>
      <c r="D55" s="116"/>
      <c r="E55" s="116"/>
      <c r="F55" s="116"/>
      <c r="G55" s="116"/>
      <c r="H55" s="116"/>
      <c r="I55" s="116"/>
      <c r="J55" s="116"/>
      <c r="K55" s="116"/>
      <c r="L55" s="116"/>
      <c r="M55" s="116"/>
      <c r="N55" s="116"/>
      <c r="O55" s="116"/>
      <c r="P55" s="116"/>
      <c r="Q55" s="116"/>
      <c r="R55" s="116"/>
      <c r="S55" s="116"/>
      <c r="T55" s="116"/>
      <c r="U55" s="116"/>
    </row>
    <row r="56" spans="1:21" x14ac:dyDescent="0.25">
      <c r="A56" s="116"/>
      <c r="B56" s="116"/>
      <c r="C56" s="116"/>
      <c r="D56" s="116"/>
      <c r="E56" s="116"/>
      <c r="F56" s="116"/>
      <c r="G56" s="116"/>
      <c r="H56" s="116"/>
      <c r="I56" s="116"/>
      <c r="J56" s="116"/>
      <c r="K56" s="116"/>
      <c r="L56" s="116"/>
      <c r="M56" s="116"/>
      <c r="N56" s="116"/>
      <c r="O56" s="116"/>
      <c r="P56" s="116"/>
      <c r="Q56" s="116"/>
      <c r="R56" s="116"/>
      <c r="S56" s="116"/>
      <c r="T56" s="116"/>
      <c r="U56" s="116"/>
    </row>
    <row r="57" spans="1:21" x14ac:dyDescent="0.25">
      <c r="A57" s="116"/>
      <c r="B57" s="116"/>
      <c r="C57" s="116"/>
      <c r="D57" s="116"/>
      <c r="E57" s="116"/>
      <c r="F57" s="116"/>
      <c r="G57" s="116"/>
      <c r="H57" s="116"/>
      <c r="I57" s="116"/>
      <c r="J57" s="116"/>
      <c r="K57" s="116"/>
      <c r="L57" s="116"/>
      <c r="M57" s="116"/>
      <c r="N57" s="116"/>
      <c r="O57" s="116"/>
      <c r="P57" s="116"/>
      <c r="Q57" s="116"/>
      <c r="R57" s="116"/>
      <c r="S57" s="116"/>
      <c r="T57" s="116"/>
      <c r="U57" s="116"/>
    </row>
    <row r="58" spans="1:21" x14ac:dyDescent="0.25">
      <c r="A58" s="116"/>
      <c r="B58" s="116"/>
      <c r="C58" s="116"/>
      <c r="D58" s="116"/>
      <c r="E58" s="116"/>
      <c r="F58" s="116"/>
      <c r="G58" s="116"/>
      <c r="H58" s="116"/>
      <c r="I58" s="116"/>
      <c r="J58" s="116"/>
      <c r="K58" s="116"/>
      <c r="L58" s="116"/>
      <c r="M58" s="116"/>
      <c r="N58" s="116"/>
      <c r="O58" s="116"/>
      <c r="P58" s="116"/>
      <c r="Q58" s="116"/>
      <c r="R58" s="116"/>
      <c r="S58" s="116"/>
      <c r="T58" s="116"/>
      <c r="U58" s="116"/>
    </row>
    <row r="59" spans="1:21" x14ac:dyDescent="0.25">
      <c r="A59" s="116"/>
      <c r="B59" s="116"/>
      <c r="C59" s="116"/>
      <c r="D59" s="116"/>
      <c r="E59" s="116"/>
      <c r="F59" s="116"/>
      <c r="G59" s="116"/>
      <c r="H59" s="116"/>
      <c r="I59" s="116"/>
      <c r="J59" s="116"/>
      <c r="K59" s="116"/>
      <c r="L59" s="116"/>
      <c r="M59" s="116"/>
      <c r="N59" s="116"/>
      <c r="O59" s="116"/>
      <c r="P59" s="116"/>
      <c r="Q59" s="116"/>
      <c r="R59" s="116"/>
      <c r="S59" s="116"/>
      <c r="T59" s="116"/>
      <c r="U59" s="116"/>
    </row>
    <row r="60" spans="1:21" x14ac:dyDescent="0.25">
      <c r="A60" s="116"/>
      <c r="B60" s="116"/>
      <c r="C60" s="116"/>
      <c r="D60" s="116"/>
      <c r="E60" s="116"/>
      <c r="F60" s="116"/>
      <c r="G60" s="116"/>
      <c r="H60" s="116"/>
      <c r="I60" s="116"/>
      <c r="J60" s="116"/>
      <c r="K60" s="116"/>
      <c r="L60" s="116"/>
      <c r="M60" s="116"/>
      <c r="N60" s="116"/>
      <c r="O60" s="116"/>
      <c r="P60" s="116"/>
      <c r="Q60" s="116"/>
      <c r="R60" s="116"/>
      <c r="S60" s="116"/>
      <c r="T60" s="116"/>
      <c r="U60" s="116"/>
    </row>
    <row r="61" spans="1:21" x14ac:dyDescent="0.25">
      <c r="A61" s="116"/>
      <c r="B61" s="116"/>
      <c r="C61" s="116"/>
      <c r="D61" s="116"/>
      <c r="E61" s="116"/>
      <c r="F61" s="116"/>
      <c r="G61" s="116"/>
      <c r="H61" s="116"/>
      <c r="I61" s="116"/>
      <c r="J61" s="116"/>
      <c r="K61" s="116"/>
      <c r="L61" s="116"/>
      <c r="M61" s="116"/>
      <c r="N61" s="116"/>
      <c r="O61" s="116"/>
      <c r="P61" s="116"/>
      <c r="Q61" s="116"/>
      <c r="R61" s="116"/>
      <c r="S61" s="116"/>
      <c r="T61" s="116"/>
      <c r="U61" s="116"/>
    </row>
    <row r="62" spans="1:21" x14ac:dyDescent="0.25">
      <c r="A62" s="116"/>
      <c r="B62" s="116"/>
      <c r="C62" s="116"/>
      <c r="D62" s="116"/>
      <c r="E62" s="116"/>
      <c r="F62" s="116"/>
      <c r="G62" s="116"/>
      <c r="H62" s="116"/>
      <c r="I62" s="116"/>
      <c r="J62" s="116"/>
      <c r="K62" s="116"/>
      <c r="L62" s="116"/>
      <c r="M62" s="116"/>
      <c r="N62" s="116"/>
      <c r="O62" s="116"/>
      <c r="P62" s="116"/>
      <c r="Q62" s="116"/>
      <c r="R62" s="116"/>
      <c r="S62" s="116"/>
      <c r="T62" s="116"/>
      <c r="U62" s="116"/>
    </row>
    <row r="63" spans="1:21" x14ac:dyDescent="0.25">
      <c r="A63" s="116"/>
      <c r="B63" s="116"/>
      <c r="C63" s="116"/>
      <c r="D63" s="116"/>
      <c r="E63" s="116"/>
      <c r="F63" s="116"/>
      <c r="G63" s="116"/>
      <c r="H63" s="116"/>
      <c r="I63" s="116"/>
      <c r="J63" s="116"/>
      <c r="K63" s="116"/>
      <c r="L63" s="116"/>
      <c r="M63" s="116"/>
      <c r="N63" s="116"/>
      <c r="O63" s="116"/>
      <c r="P63" s="116"/>
      <c r="Q63" s="116"/>
      <c r="R63" s="116"/>
      <c r="S63" s="116"/>
      <c r="T63" s="116"/>
      <c r="U63" s="116"/>
    </row>
    <row r="64" spans="1:21" x14ac:dyDescent="0.25">
      <c r="A64" s="116"/>
      <c r="B64" s="116"/>
      <c r="C64" s="116"/>
      <c r="D64" s="116"/>
      <c r="E64" s="116"/>
      <c r="F64" s="116"/>
      <c r="G64" s="116"/>
      <c r="H64" s="116"/>
      <c r="I64" s="116"/>
      <c r="J64" s="116"/>
      <c r="K64" s="116"/>
      <c r="L64" s="116"/>
      <c r="M64" s="116"/>
      <c r="N64" s="116"/>
      <c r="O64" s="116"/>
      <c r="P64" s="116"/>
      <c r="Q64" s="116"/>
      <c r="R64" s="116"/>
      <c r="S64" s="116"/>
      <c r="T64" s="116"/>
      <c r="U64" s="116"/>
    </row>
    <row r="65" spans="1:21" x14ac:dyDescent="0.25">
      <c r="A65" s="116"/>
      <c r="B65" s="116"/>
      <c r="C65" s="116"/>
      <c r="D65" s="116"/>
      <c r="E65" s="116"/>
      <c r="F65" s="116"/>
      <c r="G65" s="116"/>
      <c r="H65" s="116"/>
      <c r="I65" s="116"/>
      <c r="J65" s="116"/>
      <c r="K65" s="116"/>
      <c r="L65" s="116"/>
      <c r="M65" s="116"/>
      <c r="N65" s="116"/>
      <c r="O65" s="116"/>
      <c r="P65" s="116"/>
      <c r="Q65" s="116"/>
      <c r="R65" s="116"/>
      <c r="S65" s="116"/>
      <c r="T65" s="116"/>
      <c r="U65" s="116"/>
    </row>
    <row r="66" spans="1:21" x14ac:dyDescent="0.25">
      <c r="A66" s="116"/>
      <c r="B66" s="116"/>
      <c r="C66" s="116"/>
      <c r="D66" s="116"/>
      <c r="E66" s="116"/>
      <c r="F66" s="116"/>
      <c r="G66" s="116"/>
      <c r="H66" s="116"/>
      <c r="I66" s="116"/>
      <c r="J66" s="116"/>
      <c r="K66" s="116"/>
      <c r="L66" s="116"/>
      <c r="M66" s="116"/>
      <c r="N66" s="116"/>
      <c r="O66" s="116"/>
      <c r="P66" s="116"/>
      <c r="Q66" s="116"/>
      <c r="R66" s="116"/>
      <c r="S66" s="116"/>
      <c r="T66" s="116"/>
      <c r="U66" s="116"/>
    </row>
    <row r="67" spans="1:21" x14ac:dyDescent="0.25">
      <c r="A67" s="116"/>
      <c r="B67" s="116"/>
      <c r="C67" s="116"/>
      <c r="D67" s="116"/>
      <c r="E67" s="116"/>
      <c r="F67" s="116"/>
      <c r="G67" s="116"/>
      <c r="H67" s="116"/>
      <c r="I67" s="116"/>
      <c r="J67" s="116"/>
      <c r="K67" s="116"/>
      <c r="L67" s="116"/>
      <c r="M67" s="116"/>
      <c r="N67" s="116"/>
      <c r="O67" s="116"/>
      <c r="P67" s="116"/>
      <c r="Q67" s="116"/>
      <c r="R67" s="116"/>
      <c r="S67" s="116"/>
      <c r="T67" s="116"/>
      <c r="U67" s="116"/>
    </row>
    <row r="68" spans="1:21" x14ac:dyDescent="0.25">
      <c r="A68" s="116"/>
      <c r="B68" s="116"/>
      <c r="C68" s="116"/>
      <c r="D68" s="116"/>
      <c r="E68" s="116"/>
      <c r="F68" s="116"/>
      <c r="G68" s="116"/>
      <c r="H68" s="116"/>
      <c r="I68" s="116"/>
      <c r="J68" s="116"/>
      <c r="K68" s="116"/>
      <c r="L68" s="116"/>
      <c r="M68" s="116"/>
      <c r="N68" s="116"/>
      <c r="O68" s="116"/>
      <c r="P68" s="116"/>
      <c r="Q68" s="116"/>
      <c r="R68" s="116"/>
      <c r="S68" s="116"/>
      <c r="T68" s="116"/>
      <c r="U68" s="116"/>
    </row>
    <row r="69" spans="1:21" x14ac:dyDescent="0.25">
      <c r="A69" s="116"/>
      <c r="B69" s="116"/>
      <c r="C69" s="116"/>
      <c r="D69" s="116"/>
      <c r="E69" s="116"/>
      <c r="F69" s="116"/>
      <c r="G69" s="116"/>
      <c r="H69" s="116"/>
      <c r="I69" s="116"/>
      <c r="J69" s="116"/>
      <c r="K69" s="116"/>
      <c r="L69" s="116"/>
      <c r="M69" s="116"/>
      <c r="N69" s="116"/>
      <c r="O69" s="116"/>
      <c r="P69" s="116"/>
      <c r="Q69" s="116"/>
      <c r="R69" s="116"/>
      <c r="S69" s="116"/>
      <c r="T69" s="116"/>
      <c r="U69" s="116"/>
    </row>
    <row r="70" spans="1:21" x14ac:dyDescent="0.25">
      <c r="A70" s="116"/>
      <c r="B70" s="116"/>
      <c r="C70" s="116"/>
      <c r="D70" s="116"/>
      <c r="E70" s="116"/>
      <c r="F70" s="116"/>
      <c r="G70" s="116"/>
      <c r="H70" s="116"/>
      <c r="I70" s="116"/>
      <c r="J70" s="116"/>
      <c r="K70" s="116"/>
      <c r="L70" s="116"/>
      <c r="M70" s="116"/>
      <c r="N70" s="116"/>
      <c r="O70" s="116"/>
      <c r="P70" s="116"/>
      <c r="Q70" s="116"/>
      <c r="R70" s="116"/>
      <c r="S70" s="116"/>
      <c r="T70" s="116"/>
      <c r="U70" s="116"/>
    </row>
    <row r="71" spans="1:21" x14ac:dyDescent="0.25">
      <c r="A71" s="116"/>
      <c r="B71" s="116"/>
      <c r="C71" s="116"/>
      <c r="D71" s="116"/>
      <c r="E71" s="116"/>
      <c r="F71" s="116"/>
      <c r="G71" s="116"/>
      <c r="H71" s="116"/>
      <c r="I71" s="116"/>
      <c r="J71" s="116"/>
      <c r="K71" s="116"/>
      <c r="L71" s="116"/>
      <c r="M71" s="116"/>
      <c r="N71" s="116"/>
      <c r="O71" s="116"/>
      <c r="P71" s="116"/>
      <c r="Q71" s="116"/>
      <c r="R71" s="116"/>
      <c r="S71" s="116"/>
      <c r="T71" s="116"/>
      <c r="U71" s="116"/>
    </row>
    <row r="72" spans="1:21" x14ac:dyDescent="0.25">
      <c r="A72" s="116"/>
      <c r="B72" s="116"/>
      <c r="C72" s="116"/>
      <c r="D72" s="116"/>
      <c r="E72" s="116"/>
      <c r="F72" s="116"/>
      <c r="G72" s="116"/>
      <c r="H72" s="116"/>
      <c r="I72" s="116"/>
      <c r="J72" s="116"/>
      <c r="K72" s="116"/>
      <c r="L72" s="116"/>
      <c r="M72" s="116"/>
      <c r="N72" s="116"/>
      <c r="O72" s="116"/>
      <c r="P72" s="116"/>
      <c r="Q72" s="116"/>
      <c r="R72" s="116"/>
      <c r="S72" s="116"/>
      <c r="T72" s="116"/>
      <c r="U72" s="116"/>
    </row>
    <row r="73" spans="1:21" x14ac:dyDescent="0.25">
      <c r="A73" s="116"/>
      <c r="B73" s="116"/>
      <c r="C73" s="116"/>
      <c r="D73" s="116"/>
      <c r="E73" s="116"/>
      <c r="F73" s="116"/>
      <c r="G73" s="116"/>
      <c r="H73" s="116"/>
      <c r="I73" s="116"/>
      <c r="J73" s="116"/>
      <c r="K73" s="116"/>
      <c r="L73" s="116"/>
      <c r="M73" s="116"/>
      <c r="N73" s="116"/>
      <c r="O73" s="116"/>
      <c r="P73" s="116"/>
      <c r="Q73" s="116"/>
      <c r="R73" s="116"/>
      <c r="S73" s="116"/>
      <c r="T73" s="116"/>
      <c r="U73" s="116"/>
    </row>
    <row r="74" spans="1:21" x14ac:dyDescent="0.25">
      <c r="A74" s="116"/>
      <c r="B74" s="116"/>
      <c r="C74" s="116"/>
      <c r="D74" s="116"/>
      <c r="E74" s="116"/>
      <c r="F74" s="116"/>
      <c r="G74" s="116"/>
      <c r="H74" s="116"/>
      <c r="I74" s="116"/>
      <c r="J74" s="116"/>
      <c r="K74" s="116"/>
      <c r="L74" s="116"/>
      <c r="M74" s="116"/>
      <c r="N74" s="116"/>
      <c r="O74" s="116"/>
      <c r="P74" s="116"/>
      <c r="Q74" s="116"/>
      <c r="R74" s="116"/>
      <c r="S74" s="116"/>
      <c r="T74" s="116"/>
      <c r="U74" s="116"/>
    </row>
    <row r="75" spans="1:21" x14ac:dyDescent="0.25">
      <c r="A75" s="116"/>
      <c r="B75" s="116"/>
      <c r="C75" s="116"/>
      <c r="D75" s="116"/>
      <c r="E75" s="116"/>
      <c r="F75" s="116"/>
      <c r="G75" s="116"/>
      <c r="H75" s="116"/>
      <c r="I75" s="116"/>
      <c r="J75" s="116"/>
      <c r="K75" s="116"/>
      <c r="L75" s="116"/>
      <c r="M75" s="116"/>
      <c r="N75" s="116"/>
      <c r="O75" s="116"/>
      <c r="P75" s="116"/>
      <c r="Q75" s="116"/>
      <c r="R75" s="116"/>
      <c r="S75" s="116"/>
      <c r="T75" s="116"/>
      <c r="U75" s="116"/>
    </row>
    <row r="76" spans="1:21" x14ac:dyDescent="0.25">
      <c r="A76" s="116"/>
      <c r="B76" s="116"/>
      <c r="C76" s="116"/>
      <c r="D76" s="116"/>
      <c r="E76" s="116"/>
      <c r="F76" s="116"/>
      <c r="G76" s="116"/>
      <c r="H76" s="116"/>
      <c r="I76" s="116"/>
      <c r="J76" s="116"/>
      <c r="K76" s="116"/>
      <c r="L76" s="116"/>
      <c r="M76" s="116"/>
      <c r="N76" s="116"/>
      <c r="O76" s="116"/>
      <c r="P76" s="116"/>
      <c r="Q76" s="116"/>
      <c r="R76" s="116"/>
      <c r="S76" s="116"/>
      <c r="T76" s="116"/>
      <c r="U76" s="116"/>
    </row>
    <row r="77" spans="1:21" x14ac:dyDescent="0.25">
      <c r="A77" s="116"/>
      <c r="B77" s="116"/>
      <c r="C77" s="116"/>
      <c r="D77" s="116"/>
      <c r="E77" s="116"/>
      <c r="F77" s="116"/>
      <c r="G77" s="116"/>
      <c r="H77" s="116"/>
      <c r="I77" s="116"/>
      <c r="J77" s="116"/>
      <c r="K77" s="116"/>
      <c r="L77" s="116"/>
      <c r="M77" s="116"/>
      <c r="N77" s="116"/>
      <c r="O77" s="116"/>
      <c r="P77" s="116"/>
      <c r="Q77" s="116"/>
      <c r="R77" s="116"/>
      <c r="S77" s="116"/>
      <c r="T77" s="116"/>
      <c r="U77" s="116"/>
    </row>
    <row r="78" spans="1:21" x14ac:dyDescent="0.25">
      <c r="A78" s="116"/>
      <c r="B78" s="116"/>
      <c r="C78" s="116"/>
      <c r="D78" s="116"/>
      <c r="E78" s="116"/>
      <c r="F78" s="116"/>
      <c r="G78" s="116"/>
      <c r="H78" s="116"/>
      <c r="I78" s="116"/>
      <c r="J78" s="116"/>
      <c r="K78" s="116"/>
      <c r="L78" s="116"/>
      <c r="M78" s="116"/>
      <c r="N78" s="116"/>
      <c r="O78" s="116"/>
      <c r="P78" s="116"/>
      <c r="Q78" s="116"/>
      <c r="R78" s="116"/>
      <c r="S78" s="116"/>
      <c r="T78" s="116"/>
      <c r="U78" s="116"/>
    </row>
    <row r="79" spans="1:21" x14ac:dyDescent="0.25">
      <c r="A79" s="116"/>
      <c r="B79" s="116"/>
      <c r="C79" s="116"/>
      <c r="D79" s="116"/>
      <c r="E79" s="116"/>
      <c r="F79" s="116"/>
      <c r="G79" s="116"/>
      <c r="H79" s="116"/>
      <c r="I79" s="116"/>
      <c r="J79" s="116"/>
      <c r="K79" s="116"/>
      <c r="L79" s="116"/>
      <c r="M79" s="116"/>
      <c r="N79" s="116"/>
      <c r="O79" s="116"/>
      <c r="P79" s="116"/>
      <c r="Q79" s="116"/>
      <c r="R79" s="116"/>
      <c r="S79" s="116"/>
      <c r="T79" s="116"/>
      <c r="U79" s="116"/>
    </row>
    <row r="80" spans="1:21" x14ac:dyDescent="0.25">
      <c r="A80" s="116"/>
      <c r="B80" s="116"/>
      <c r="C80" s="116"/>
      <c r="D80" s="116"/>
      <c r="E80" s="116"/>
      <c r="F80" s="116"/>
      <c r="G80" s="116"/>
      <c r="H80" s="116"/>
      <c r="I80" s="116"/>
      <c r="J80" s="116"/>
      <c r="K80" s="116"/>
      <c r="L80" s="116"/>
      <c r="M80" s="116"/>
      <c r="N80" s="116"/>
      <c r="O80" s="116"/>
      <c r="P80" s="116"/>
      <c r="Q80" s="116"/>
      <c r="R80" s="116"/>
      <c r="S80" s="116"/>
      <c r="T80" s="116"/>
      <c r="U80" s="116"/>
    </row>
    <row r="81" spans="1:21" x14ac:dyDescent="0.25">
      <c r="A81" s="116"/>
      <c r="B81" s="116"/>
      <c r="C81" s="116"/>
      <c r="D81" s="116"/>
      <c r="E81" s="116"/>
      <c r="F81" s="116"/>
      <c r="G81" s="116"/>
      <c r="H81" s="116"/>
      <c r="I81" s="116"/>
      <c r="J81" s="116"/>
      <c r="K81" s="116"/>
      <c r="L81" s="116"/>
      <c r="M81" s="116"/>
      <c r="N81" s="116"/>
      <c r="O81" s="116"/>
      <c r="P81" s="116"/>
      <c r="Q81" s="116"/>
      <c r="R81" s="116"/>
      <c r="S81" s="116"/>
      <c r="T81" s="116"/>
      <c r="U81" s="116"/>
    </row>
    <row r="82" spans="1:21" x14ac:dyDescent="0.25">
      <c r="A82" s="116"/>
      <c r="B82" s="116"/>
      <c r="C82" s="116"/>
      <c r="D82" s="116"/>
      <c r="E82" s="116"/>
      <c r="F82" s="116"/>
      <c r="G82" s="116"/>
      <c r="H82" s="116"/>
      <c r="I82" s="116"/>
      <c r="J82" s="116"/>
      <c r="K82" s="116"/>
      <c r="L82" s="116"/>
      <c r="M82" s="116"/>
      <c r="N82" s="116"/>
      <c r="O82" s="116"/>
      <c r="P82" s="116"/>
      <c r="Q82" s="116"/>
      <c r="R82" s="116"/>
      <c r="S82" s="116"/>
      <c r="T82" s="116"/>
      <c r="U82" s="116"/>
    </row>
    <row r="83" spans="1:21" x14ac:dyDescent="0.25">
      <c r="A83" s="116"/>
      <c r="B83" s="116"/>
      <c r="C83" s="116"/>
      <c r="D83" s="116"/>
      <c r="E83" s="116"/>
      <c r="F83" s="116"/>
      <c r="G83" s="116"/>
      <c r="H83" s="116"/>
      <c r="I83" s="116"/>
      <c r="J83" s="116"/>
      <c r="K83" s="116"/>
      <c r="L83" s="116"/>
      <c r="M83" s="116"/>
      <c r="N83" s="116"/>
      <c r="O83" s="116"/>
      <c r="P83" s="116"/>
      <c r="Q83" s="116"/>
      <c r="R83" s="116"/>
      <c r="S83" s="116"/>
      <c r="T83" s="116"/>
      <c r="U83" s="116"/>
    </row>
    <row r="84" spans="1:21" x14ac:dyDescent="0.25">
      <c r="A84" s="116"/>
      <c r="B84" s="116"/>
      <c r="C84" s="116"/>
      <c r="D84" s="116"/>
      <c r="E84" s="116"/>
      <c r="F84" s="116"/>
      <c r="G84" s="116"/>
      <c r="H84" s="116"/>
      <c r="I84" s="116"/>
      <c r="J84" s="116"/>
      <c r="K84" s="116"/>
      <c r="L84" s="116"/>
      <c r="M84" s="116"/>
      <c r="N84" s="116"/>
      <c r="O84" s="116"/>
      <c r="P84" s="116"/>
      <c r="Q84" s="116"/>
      <c r="R84" s="116"/>
      <c r="S84" s="116"/>
      <c r="T84" s="116"/>
      <c r="U84" s="116"/>
    </row>
    <row r="85" spans="1:21" x14ac:dyDescent="0.25">
      <c r="A85" s="116"/>
      <c r="B85" s="116"/>
      <c r="C85" s="116"/>
      <c r="D85" s="116"/>
      <c r="E85" s="116"/>
      <c r="F85" s="116"/>
      <c r="G85" s="116"/>
      <c r="H85" s="116"/>
      <c r="I85" s="116"/>
      <c r="J85" s="116"/>
      <c r="K85" s="116"/>
      <c r="L85" s="116"/>
      <c r="M85" s="116"/>
      <c r="N85" s="116"/>
      <c r="O85" s="116"/>
      <c r="P85" s="116"/>
      <c r="Q85" s="116"/>
      <c r="R85" s="116"/>
      <c r="S85" s="116"/>
      <c r="T85" s="116"/>
      <c r="U85" s="116"/>
    </row>
    <row r="86" spans="1:21" x14ac:dyDescent="0.25">
      <c r="A86" s="116"/>
      <c r="B86" s="116"/>
      <c r="C86" s="116"/>
      <c r="D86" s="116"/>
      <c r="E86" s="116"/>
      <c r="F86" s="116"/>
      <c r="G86" s="116"/>
      <c r="H86" s="116"/>
      <c r="I86" s="116"/>
      <c r="J86" s="116"/>
      <c r="K86" s="116"/>
      <c r="L86" s="116"/>
      <c r="M86" s="116"/>
      <c r="N86" s="116"/>
      <c r="O86" s="116"/>
      <c r="P86" s="116"/>
      <c r="Q86" s="116"/>
      <c r="R86" s="116"/>
      <c r="S86" s="116"/>
      <c r="T86" s="116"/>
      <c r="U86" s="116"/>
    </row>
    <row r="87" spans="1:21" x14ac:dyDescent="0.25">
      <c r="A87" s="116"/>
      <c r="B87" s="116"/>
      <c r="C87" s="116"/>
      <c r="D87" s="116"/>
      <c r="E87" s="116"/>
      <c r="F87" s="116"/>
      <c r="G87" s="116"/>
      <c r="H87" s="116"/>
      <c r="I87" s="116"/>
      <c r="J87" s="116"/>
      <c r="K87" s="116"/>
      <c r="L87" s="116"/>
      <c r="M87" s="116"/>
      <c r="N87" s="116"/>
      <c r="O87" s="116"/>
      <c r="P87" s="116"/>
      <c r="Q87" s="116"/>
      <c r="R87" s="116"/>
      <c r="S87" s="116"/>
      <c r="T87" s="116"/>
      <c r="U87" s="116"/>
    </row>
    <row r="88" spans="1:21" x14ac:dyDescent="0.25">
      <c r="A88" s="116"/>
      <c r="B88" s="116"/>
      <c r="C88" s="116"/>
      <c r="D88" s="116"/>
      <c r="E88" s="116"/>
      <c r="F88" s="116"/>
      <c r="G88" s="116"/>
      <c r="H88" s="116"/>
      <c r="I88" s="116"/>
      <c r="J88" s="116"/>
      <c r="K88" s="116"/>
      <c r="L88" s="116"/>
      <c r="M88" s="116"/>
      <c r="N88" s="116"/>
      <c r="O88" s="116"/>
      <c r="P88" s="116"/>
      <c r="Q88" s="116"/>
      <c r="R88" s="116"/>
      <c r="S88" s="116"/>
      <c r="T88" s="116"/>
      <c r="U88" s="116"/>
    </row>
    <row r="89" spans="1:21" x14ac:dyDescent="0.25">
      <c r="A89" s="116"/>
      <c r="B89" s="116"/>
      <c r="C89" s="116"/>
      <c r="D89" s="116"/>
      <c r="E89" s="116"/>
      <c r="F89" s="116"/>
      <c r="G89" s="116"/>
      <c r="H89" s="116"/>
      <c r="I89" s="116"/>
      <c r="J89" s="116"/>
      <c r="K89" s="116"/>
      <c r="L89" s="116"/>
      <c r="M89" s="116"/>
      <c r="N89" s="116"/>
      <c r="O89" s="116"/>
      <c r="P89" s="116"/>
      <c r="Q89" s="116"/>
      <c r="R89" s="116"/>
      <c r="S89" s="116"/>
      <c r="T89" s="116"/>
      <c r="U89" s="116"/>
    </row>
    <row r="90" spans="1:21" x14ac:dyDescent="0.25">
      <c r="A90" s="116"/>
      <c r="B90" s="116"/>
      <c r="C90" s="116"/>
      <c r="D90" s="116"/>
      <c r="E90" s="116"/>
      <c r="F90" s="116"/>
      <c r="G90" s="116"/>
      <c r="H90" s="116"/>
      <c r="I90" s="116"/>
      <c r="J90" s="116"/>
      <c r="K90" s="116"/>
      <c r="L90" s="116"/>
      <c r="M90" s="116"/>
      <c r="N90" s="116"/>
      <c r="O90" s="116"/>
      <c r="P90" s="116"/>
      <c r="Q90" s="116"/>
      <c r="R90" s="116"/>
      <c r="S90" s="116"/>
      <c r="T90" s="116"/>
      <c r="U90" s="116"/>
    </row>
    <row r="91" spans="1:21" x14ac:dyDescent="0.25">
      <c r="A91" s="116"/>
      <c r="B91" s="116"/>
      <c r="C91" s="116"/>
      <c r="D91" s="116"/>
      <c r="E91" s="116"/>
      <c r="F91" s="116"/>
      <c r="G91" s="116"/>
      <c r="H91" s="116"/>
      <c r="I91" s="116"/>
      <c r="J91" s="116"/>
      <c r="K91" s="116"/>
      <c r="L91" s="116"/>
      <c r="M91" s="116"/>
      <c r="N91" s="116"/>
      <c r="O91" s="116"/>
      <c r="P91" s="116"/>
      <c r="Q91" s="116"/>
      <c r="R91" s="116"/>
      <c r="S91" s="116"/>
      <c r="T91" s="116"/>
      <c r="U91" s="116"/>
    </row>
    <row r="92" spans="1:21" x14ac:dyDescent="0.25">
      <c r="A92" s="116"/>
      <c r="B92" s="116"/>
      <c r="C92" s="116"/>
      <c r="D92" s="116"/>
      <c r="E92" s="116"/>
      <c r="F92" s="116"/>
      <c r="G92" s="116"/>
      <c r="H92" s="116"/>
      <c r="I92" s="116"/>
      <c r="J92" s="116"/>
      <c r="K92" s="116"/>
      <c r="L92" s="116"/>
      <c r="M92" s="116"/>
      <c r="N92" s="116"/>
      <c r="O92" s="116"/>
      <c r="P92" s="116"/>
      <c r="Q92" s="116"/>
      <c r="R92" s="116"/>
      <c r="S92" s="116"/>
      <c r="T92" s="116"/>
      <c r="U92" s="116"/>
    </row>
    <row r="93" spans="1:21" x14ac:dyDescent="0.25">
      <c r="A93" s="116"/>
      <c r="B93" s="116"/>
      <c r="C93" s="116"/>
      <c r="D93" s="116"/>
      <c r="E93" s="116"/>
      <c r="F93" s="116"/>
      <c r="G93" s="116"/>
      <c r="H93" s="116"/>
      <c r="I93" s="116"/>
      <c r="J93" s="116"/>
      <c r="K93" s="116"/>
      <c r="L93" s="116"/>
      <c r="M93" s="116"/>
      <c r="N93" s="116"/>
      <c r="O93" s="116"/>
      <c r="P93" s="116"/>
      <c r="Q93" s="116"/>
      <c r="R93" s="116"/>
      <c r="S93" s="116"/>
      <c r="T93" s="116"/>
      <c r="U93" s="116"/>
    </row>
    <row r="94" spans="1:21" x14ac:dyDescent="0.25">
      <c r="A94" s="116"/>
      <c r="B94" s="116"/>
      <c r="C94" s="116"/>
      <c r="D94" s="116"/>
      <c r="E94" s="116"/>
      <c r="F94" s="116"/>
      <c r="G94" s="116"/>
      <c r="H94" s="116"/>
      <c r="I94" s="116"/>
      <c r="J94" s="116"/>
      <c r="K94" s="116"/>
      <c r="L94" s="116"/>
      <c r="M94" s="116"/>
      <c r="N94" s="116"/>
      <c r="O94" s="116"/>
      <c r="P94" s="116"/>
      <c r="Q94" s="116"/>
      <c r="R94" s="116"/>
      <c r="S94" s="116"/>
      <c r="T94" s="116"/>
      <c r="U94" s="116"/>
    </row>
    <row r="95" spans="1:21" x14ac:dyDescent="0.25">
      <c r="A95" s="116"/>
      <c r="B95" s="116"/>
      <c r="C95" s="116"/>
      <c r="D95" s="116"/>
      <c r="E95" s="116"/>
      <c r="F95" s="116"/>
      <c r="G95" s="116"/>
      <c r="H95" s="116"/>
      <c r="I95" s="116"/>
      <c r="J95" s="116"/>
      <c r="K95" s="116"/>
      <c r="L95" s="116"/>
      <c r="M95" s="116"/>
      <c r="N95" s="116"/>
      <c r="O95" s="116"/>
      <c r="P95" s="116"/>
      <c r="Q95" s="116"/>
      <c r="R95" s="116"/>
      <c r="S95" s="116"/>
      <c r="T95" s="116"/>
      <c r="U95" s="116"/>
    </row>
    <row r="96" spans="1:21" x14ac:dyDescent="0.25">
      <c r="A96" s="116"/>
      <c r="B96" s="116"/>
      <c r="C96" s="116"/>
      <c r="D96" s="116"/>
      <c r="E96" s="116"/>
      <c r="F96" s="116"/>
      <c r="G96" s="116"/>
      <c r="H96" s="116"/>
      <c r="I96" s="116"/>
      <c r="J96" s="116"/>
      <c r="K96" s="116"/>
      <c r="L96" s="116"/>
      <c r="M96" s="116"/>
      <c r="N96" s="116"/>
      <c r="O96" s="116"/>
      <c r="P96" s="116"/>
      <c r="Q96" s="116"/>
      <c r="R96" s="116"/>
      <c r="S96" s="116"/>
      <c r="T96" s="116"/>
      <c r="U96" s="116"/>
    </row>
    <row r="97" spans="1:21" x14ac:dyDescent="0.25">
      <c r="A97" s="116"/>
      <c r="B97" s="116"/>
      <c r="C97" s="116"/>
      <c r="D97" s="116"/>
      <c r="E97" s="116"/>
      <c r="F97" s="116"/>
      <c r="G97" s="116"/>
      <c r="H97" s="116"/>
      <c r="I97" s="116"/>
      <c r="J97" s="116"/>
      <c r="K97" s="116"/>
      <c r="L97" s="116"/>
      <c r="M97" s="116"/>
      <c r="N97" s="116"/>
      <c r="O97" s="116"/>
      <c r="P97" s="116"/>
      <c r="Q97" s="116"/>
      <c r="R97" s="116"/>
      <c r="S97" s="116"/>
      <c r="T97" s="116"/>
      <c r="U97" s="116"/>
    </row>
    <row r="98" spans="1:21" x14ac:dyDescent="0.25">
      <c r="A98" s="116"/>
      <c r="B98" s="116"/>
      <c r="C98" s="116"/>
      <c r="D98" s="116"/>
      <c r="E98" s="116"/>
      <c r="F98" s="116"/>
      <c r="G98" s="116"/>
      <c r="H98" s="116"/>
      <c r="I98" s="116"/>
      <c r="J98" s="116"/>
      <c r="K98" s="116"/>
      <c r="L98" s="116"/>
      <c r="M98" s="116"/>
      <c r="N98" s="116"/>
      <c r="O98" s="116"/>
      <c r="P98" s="116"/>
      <c r="Q98" s="116"/>
      <c r="R98" s="116"/>
      <c r="S98" s="116"/>
      <c r="T98" s="116"/>
      <c r="U98" s="116"/>
    </row>
    <row r="99" spans="1:21" x14ac:dyDescent="0.25">
      <c r="A99" s="116"/>
      <c r="B99" s="116"/>
      <c r="C99" s="116"/>
      <c r="D99" s="116"/>
      <c r="E99" s="116"/>
      <c r="F99" s="116"/>
      <c r="G99" s="116"/>
      <c r="H99" s="116"/>
      <c r="I99" s="116"/>
      <c r="J99" s="116"/>
      <c r="K99" s="116"/>
      <c r="L99" s="116"/>
      <c r="M99" s="116"/>
      <c r="N99" s="116"/>
      <c r="O99" s="116"/>
      <c r="P99" s="116"/>
      <c r="Q99" s="116"/>
      <c r="R99" s="116"/>
      <c r="S99" s="116"/>
      <c r="T99" s="116"/>
      <c r="U99" s="116"/>
    </row>
    <row r="100" spans="1:21"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row>
    <row r="101" spans="1:21"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row>
    <row r="102" spans="1:21"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row>
    <row r="103" spans="1:21"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row>
    <row r="104" spans="1:21"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row>
    <row r="105" spans="1:21"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row>
    <row r="106" spans="1:21"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row>
    <row r="107" spans="1:21"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row>
    <row r="108" spans="1:21"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row>
    <row r="109" spans="1:21"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row>
    <row r="110" spans="1:21"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row>
    <row r="111" spans="1:21"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row>
    <row r="112" spans="1:21"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row>
    <row r="113" spans="1:21"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row>
    <row r="114" spans="1:21"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row>
    <row r="115" spans="1:21"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row>
    <row r="116" spans="1:21"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row>
    <row r="117" spans="1:21"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row>
    <row r="118" spans="1:21"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row>
    <row r="119" spans="1:21"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row>
    <row r="120" spans="1:21"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row>
    <row r="121" spans="1:21"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row>
    <row r="122" spans="1:21"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row>
    <row r="123" spans="1:21"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row>
    <row r="124" spans="1:21"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row>
    <row r="125" spans="1:21"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row>
    <row r="126" spans="1:21"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row>
    <row r="127" spans="1:21"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row>
    <row r="128" spans="1:21"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row>
    <row r="129" spans="1:21"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row>
    <row r="130" spans="1:21"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row>
    <row r="131" spans="1:21"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row>
    <row r="132" spans="1:21"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row>
    <row r="133" spans="1:21"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row>
    <row r="134" spans="1:21"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row>
    <row r="135" spans="1:21"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row>
    <row r="136" spans="1:21"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row>
    <row r="137" spans="1:21"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row>
    <row r="138" spans="1:21"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row>
    <row r="139" spans="1:21"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row>
    <row r="140" spans="1:21"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row>
    <row r="141" spans="1:21"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row>
    <row r="142" spans="1:21"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row>
    <row r="143" spans="1:21"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row>
    <row r="144" spans="1:21"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row>
    <row r="145" spans="1:21"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row>
    <row r="146" spans="1:21"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row>
    <row r="147" spans="1:21"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row>
    <row r="148" spans="1:21"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row>
    <row r="149" spans="1:21"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row>
    <row r="150" spans="1:21"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row>
    <row r="151" spans="1:21"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row>
    <row r="152" spans="1:21"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row>
    <row r="153" spans="1:21"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row>
    <row r="154" spans="1:21"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row>
    <row r="155" spans="1:21"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row>
    <row r="156" spans="1:21"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row>
    <row r="157" spans="1:21"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row>
    <row r="158" spans="1:21"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row>
    <row r="159" spans="1:21"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row>
    <row r="160" spans="1:21"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row>
    <row r="161" spans="1:21"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row>
    <row r="162" spans="1:21"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row>
    <row r="163" spans="1:21"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row>
    <row r="164" spans="1:21"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row>
    <row r="165" spans="1:21"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row>
    <row r="166" spans="1:21"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row>
    <row r="167" spans="1:21"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row>
    <row r="168" spans="1:21"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row>
    <row r="169" spans="1:21"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row>
    <row r="170" spans="1:21"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row>
    <row r="171" spans="1:21"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row>
    <row r="172" spans="1:21"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row>
    <row r="173" spans="1:21"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row>
    <row r="174" spans="1:21"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row>
    <row r="175" spans="1:21"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row>
    <row r="176" spans="1:21"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row>
    <row r="177" spans="1:21"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row>
    <row r="178" spans="1:21"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row>
    <row r="179" spans="1:21"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row>
    <row r="180" spans="1:21"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row>
    <row r="181" spans="1:21"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row>
    <row r="182" spans="1:21"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row>
    <row r="183" spans="1:21"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row>
    <row r="184" spans="1:21"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row>
    <row r="185" spans="1:21"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row>
    <row r="186" spans="1:21"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row>
    <row r="187" spans="1:21"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row>
    <row r="188" spans="1:21"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row>
    <row r="189" spans="1:21"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row>
    <row r="190" spans="1:21"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row>
    <row r="191" spans="1:21"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row>
    <row r="192" spans="1:21"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row>
    <row r="193" spans="1:21"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row>
    <row r="194" spans="1:21"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row>
    <row r="195" spans="1:21"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row>
    <row r="196" spans="1:21"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row>
    <row r="197" spans="1:21"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row>
    <row r="198" spans="1:21"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row>
    <row r="199" spans="1:21"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row>
    <row r="200" spans="1:21"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row>
    <row r="201" spans="1:21"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row>
    <row r="202" spans="1:21"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row>
    <row r="203" spans="1:21"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row>
    <row r="204" spans="1:21"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row>
    <row r="205" spans="1:21"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row>
    <row r="206" spans="1:21"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row>
    <row r="207" spans="1:21"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row>
    <row r="208" spans="1:21"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row>
    <row r="209" spans="1:21"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row>
    <row r="210" spans="1:21"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row>
    <row r="211" spans="1:21"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row>
    <row r="212" spans="1:21"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row>
    <row r="213" spans="1:21"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row>
    <row r="214" spans="1:21"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row>
    <row r="215" spans="1:21"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row>
    <row r="216" spans="1:21"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row>
    <row r="217" spans="1:21"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row>
    <row r="218" spans="1:21"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row>
    <row r="219" spans="1:21"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row>
    <row r="220" spans="1:21"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row>
    <row r="221" spans="1:21"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row>
    <row r="222" spans="1:21"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row>
    <row r="223" spans="1:21"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row>
    <row r="224" spans="1:21"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row>
    <row r="225" spans="1:21"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row>
    <row r="226" spans="1:21"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row>
    <row r="227" spans="1:21"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row>
    <row r="228" spans="1:21"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row>
    <row r="229" spans="1:21"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row>
    <row r="230" spans="1:21"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row>
    <row r="231" spans="1:21"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row>
    <row r="232" spans="1:21"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row>
    <row r="233" spans="1:21"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row>
    <row r="234" spans="1:21"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row>
    <row r="235" spans="1:21"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row>
    <row r="236" spans="1:21"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row>
    <row r="237" spans="1:21"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row>
    <row r="238" spans="1:21"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row>
    <row r="239" spans="1:21"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row>
    <row r="240" spans="1:21"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row>
    <row r="241" spans="1:21"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row>
    <row r="242" spans="1:21"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row>
    <row r="243" spans="1:21"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row>
    <row r="244" spans="1:21"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row>
    <row r="245" spans="1:21"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row>
    <row r="246" spans="1:21"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row>
    <row r="247" spans="1:21"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row>
    <row r="248" spans="1:21"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row>
    <row r="249" spans="1:21"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row>
    <row r="250" spans="1:21"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row>
    <row r="251" spans="1:21"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row>
    <row r="252" spans="1:21"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row>
    <row r="253" spans="1:21"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row>
    <row r="254" spans="1:21"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row>
    <row r="255" spans="1:21"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row>
    <row r="256" spans="1:21"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row>
    <row r="257" spans="1:21"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row>
    <row r="258" spans="1:21"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row>
    <row r="259" spans="1:21"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row>
    <row r="260" spans="1:21"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row>
    <row r="261" spans="1:21"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row>
    <row r="262" spans="1:21"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row>
    <row r="263" spans="1:21"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row>
    <row r="264" spans="1:21"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row>
    <row r="265" spans="1:21"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row>
    <row r="266" spans="1:21"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row>
    <row r="267" spans="1:21"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row>
    <row r="268" spans="1:21"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row>
    <row r="269" spans="1:21"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row>
    <row r="270" spans="1:21"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row>
    <row r="271" spans="1:21"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row>
    <row r="272" spans="1:21"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row>
    <row r="273" spans="1:21"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row>
    <row r="274" spans="1:21"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row>
    <row r="275" spans="1:21"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row>
    <row r="276" spans="1:21"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row>
    <row r="277" spans="1:21"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row>
    <row r="278" spans="1:21"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row>
    <row r="279" spans="1:21"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row>
    <row r="280" spans="1:21"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row>
    <row r="281" spans="1:21"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row>
    <row r="282" spans="1:21"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row>
    <row r="283" spans="1:21"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row>
    <row r="284" spans="1:21"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row>
    <row r="285" spans="1:21"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row>
    <row r="286" spans="1:21"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row>
    <row r="287" spans="1:21"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row>
    <row r="288" spans="1:21"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row>
    <row r="289" spans="1:21"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row>
    <row r="290" spans="1:21"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row>
    <row r="291" spans="1:21"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row>
    <row r="292" spans="1:21"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row>
    <row r="293" spans="1:21"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row>
    <row r="294" spans="1:21"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row>
    <row r="295" spans="1:21"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row>
    <row r="296" spans="1:21"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row>
    <row r="297" spans="1:21"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row>
    <row r="298" spans="1:21"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row>
    <row r="299" spans="1:21"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row>
    <row r="300" spans="1:21"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row>
    <row r="301" spans="1:21"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row>
    <row r="302" spans="1:21"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row>
    <row r="303" spans="1:21"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row>
    <row r="304" spans="1:21"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row>
    <row r="305" spans="1:21"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row>
    <row r="306" spans="1:21"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row>
    <row r="307" spans="1:21"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row>
    <row r="308" spans="1:21"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row>
    <row r="309" spans="1:21"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row>
    <row r="310" spans="1:21"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row>
    <row r="311" spans="1:21"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row>
    <row r="312" spans="1:21"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row>
    <row r="313" spans="1:21"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row>
    <row r="314" spans="1:21"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row>
    <row r="315" spans="1:21"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row>
    <row r="316" spans="1:21"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row>
    <row r="317" spans="1:21"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row>
    <row r="318" spans="1:21"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row>
    <row r="319" spans="1:21"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row>
    <row r="320" spans="1:21"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row>
    <row r="321" spans="1:21"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row>
    <row r="322" spans="1:21"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row>
    <row r="323" spans="1:21"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row>
    <row r="324" spans="1:21"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row>
    <row r="325" spans="1:21"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row>
    <row r="326" spans="1:21"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row>
    <row r="327" spans="1:21"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row>
    <row r="328" spans="1:21"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row>
    <row r="329" spans="1:21"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row>
    <row r="330" spans="1:21"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row>
    <row r="331" spans="1:21"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row>
    <row r="332" spans="1:21"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row>
    <row r="333" spans="1:21"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row>
    <row r="334" spans="1:21"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row>
    <row r="335" spans="1:21"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row>
    <row r="336" spans="1:21"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row>
    <row r="337" spans="1:21"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row>
    <row r="338" spans="1:21"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row>
    <row r="339" spans="1:21"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row>
    <row r="340" spans="1:21"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row>
    <row r="341" spans="1:21"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row>
    <row r="342" spans="1:21"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row>
    <row r="343" spans="1:21"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row>
    <row r="344" spans="1:21"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row>
    <row r="345" spans="1:21"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row>
    <row r="346" spans="1:21"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row>
    <row r="347" spans="1:21"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row>
    <row r="348" spans="1:21"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row>
    <row r="349" spans="1:21"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row>
    <row r="350" spans="1:21"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row>
    <row r="351" spans="1:21"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row>
    <row r="352" spans="1:21"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row>
    <row r="353" spans="1:21"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row>
    <row r="354" spans="1:21"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row>
    <row r="355" spans="1:21"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row>
    <row r="356" spans="1:21"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row>
    <row r="357" spans="1:21"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row>
    <row r="358" spans="1:21"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row>
    <row r="359" spans="1:21"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row>
    <row r="360" spans="1:21"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row>
    <row r="361" spans="1:21" x14ac:dyDescent="0.25">
      <c r="A361" s="116"/>
      <c r="B361" s="116"/>
      <c r="C361" s="116"/>
      <c r="D361" s="116"/>
      <c r="E361" s="116"/>
      <c r="F361" s="116"/>
      <c r="G361" s="116"/>
      <c r="H361" s="116"/>
      <c r="I361" s="116"/>
      <c r="J361" s="116"/>
      <c r="K361" s="116"/>
      <c r="L361" s="116"/>
      <c r="M361" s="116"/>
      <c r="N361" s="116"/>
      <c r="O361" s="116"/>
      <c r="P361" s="116"/>
      <c r="Q361" s="116"/>
      <c r="R361" s="116"/>
      <c r="S361" s="116"/>
      <c r="T361" s="116"/>
      <c r="U361" s="116"/>
    </row>
    <row r="362" spans="1:21" x14ac:dyDescent="0.25">
      <c r="A362" s="116"/>
      <c r="B362" s="116"/>
      <c r="C362" s="116"/>
      <c r="D362" s="116"/>
      <c r="E362" s="116"/>
      <c r="F362" s="116"/>
      <c r="G362" s="116"/>
      <c r="H362" s="116"/>
      <c r="I362" s="116"/>
      <c r="J362" s="116"/>
      <c r="K362" s="116"/>
      <c r="L362" s="116"/>
      <c r="M362" s="116"/>
      <c r="N362" s="116"/>
      <c r="O362" s="116"/>
      <c r="P362" s="116"/>
      <c r="Q362" s="116"/>
      <c r="R362" s="116"/>
      <c r="S362" s="116"/>
      <c r="T362" s="116"/>
      <c r="U362" s="116"/>
    </row>
    <row r="363" spans="1:21" x14ac:dyDescent="0.25">
      <c r="A363" s="116"/>
      <c r="B363" s="116"/>
      <c r="C363" s="116"/>
      <c r="D363" s="116"/>
      <c r="E363" s="116"/>
      <c r="F363" s="116"/>
      <c r="G363" s="116"/>
      <c r="H363" s="116"/>
      <c r="I363" s="116"/>
      <c r="J363" s="116"/>
      <c r="K363" s="116"/>
      <c r="L363" s="116"/>
      <c r="M363" s="116"/>
      <c r="N363" s="116"/>
      <c r="O363" s="116"/>
      <c r="P363" s="116"/>
      <c r="Q363" s="116"/>
      <c r="R363" s="116"/>
      <c r="S363" s="116"/>
      <c r="T363" s="116"/>
      <c r="U363" s="116"/>
    </row>
    <row r="364" spans="1:21" x14ac:dyDescent="0.25">
      <c r="A364" s="116"/>
      <c r="B364" s="116"/>
      <c r="C364" s="116"/>
      <c r="D364" s="116"/>
      <c r="E364" s="116"/>
      <c r="F364" s="116"/>
      <c r="G364" s="116"/>
      <c r="H364" s="116"/>
      <c r="I364" s="116"/>
      <c r="J364" s="116"/>
      <c r="K364" s="116"/>
      <c r="L364" s="116"/>
      <c r="M364" s="116"/>
      <c r="N364" s="116"/>
      <c r="O364" s="116"/>
      <c r="P364" s="116"/>
      <c r="Q364" s="116"/>
      <c r="R364" s="116"/>
      <c r="S364" s="116"/>
      <c r="T364" s="116"/>
      <c r="U364" s="116"/>
    </row>
    <row r="365" spans="1:21" x14ac:dyDescent="0.25">
      <c r="A365" s="116"/>
      <c r="B365" s="116"/>
      <c r="C365" s="116"/>
      <c r="D365" s="116"/>
      <c r="E365" s="116"/>
      <c r="F365" s="116"/>
      <c r="G365" s="116"/>
      <c r="H365" s="116"/>
      <c r="I365" s="116"/>
      <c r="J365" s="116"/>
      <c r="K365" s="116"/>
      <c r="L365" s="116"/>
      <c r="M365" s="116"/>
      <c r="N365" s="116"/>
      <c r="O365" s="116"/>
      <c r="P365" s="116"/>
      <c r="Q365" s="116"/>
      <c r="R365" s="116"/>
      <c r="S365" s="116"/>
      <c r="T365" s="116"/>
      <c r="U365" s="116"/>
    </row>
    <row r="366" spans="1:21" x14ac:dyDescent="0.25">
      <c r="A366" s="116"/>
      <c r="B366" s="116"/>
      <c r="C366" s="116"/>
      <c r="D366" s="116"/>
      <c r="E366" s="116"/>
      <c r="F366" s="116"/>
      <c r="G366" s="116"/>
      <c r="H366" s="116"/>
      <c r="I366" s="116"/>
      <c r="J366" s="116"/>
      <c r="K366" s="116"/>
      <c r="L366" s="116"/>
      <c r="M366" s="116"/>
      <c r="N366" s="116"/>
      <c r="O366" s="116"/>
      <c r="P366" s="116"/>
      <c r="Q366" s="116"/>
      <c r="R366" s="116"/>
      <c r="S366" s="116"/>
      <c r="T366" s="116"/>
      <c r="U366" s="116"/>
    </row>
    <row r="367" spans="1:21" x14ac:dyDescent="0.25">
      <c r="A367" s="116"/>
      <c r="B367" s="116"/>
      <c r="C367" s="116"/>
      <c r="D367" s="116"/>
      <c r="E367" s="116"/>
      <c r="F367" s="116"/>
      <c r="G367" s="116"/>
      <c r="H367" s="116"/>
      <c r="I367" s="116"/>
      <c r="J367" s="116"/>
      <c r="K367" s="116"/>
      <c r="L367" s="116"/>
      <c r="M367" s="116"/>
      <c r="N367" s="116"/>
      <c r="O367" s="116"/>
      <c r="P367" s="116"/>
      <c r="Q367" s="116"/>
      <c r="R367" s="116"/>
      <c r="S367" s="116"/>
      <c r="T367" s="116"/>
      <c r="U367" s="116"/>
    </row>
    <row r="368" spans="1:21" x14ac:dyDescent="0.25">
      <c r="A368" s="116"/>
      <c r="B368" s="116"/>
      <c r="C368" s="116"/>
      <c r="D368" s="116"/>
      <c r="E368" s="116"/>
      <c r="F368" s="116"/>
      <c r="G368" s="116"/>
      <c r="H368" s="116"/>
      <c r="I368" s="116"/>
      <c r="J368" s="116"/>
      <c r="K368" s="116"/>
      <c r="L368" s="116"/>
      <c r="M368" s="116"/>
      <c r="N368" s="116"/>
      <c r="O368" s="116"/>
      <c r="P368" s="116"/>
      <c r="Q368" s="116"/>
      <c r="R368" s="116"/>
      <c r="S368" s="116"/>
      <c r="T368" s="116"/>
      <c r="U368" s="116"/>
    </row>
    <row r="369" spans="1:21" x14ac:dyDescent="0.25">
      <c r="A369" s="116"/>
      <c r="B369" s="116"/>
      <c r="C369" s="116"/>
      <c r="D369" s="116"/>
      <c r="E369" s="116"/>
      <c r="F369" s="116"/>
      <c r="G369" s="116"/>
      <c r="H369" s="116"/>
      <c r="I369" s="116"/>
      <c r="J369" s="116"/>
      <c r="K369" s="116"/>
      <c r="L369" s="116"/>
      <c r="M369" s="116"/>
      <c r="N369" s="116"/>
      <c r="O369" s="116"/>
      <c r="P369" s="116"/>
      <c r="Q369" s="116"/>
      <c r="R369" s="116"/>
      <c r="S369" s="116"/>
      <c r="T369" s="116"/>
      <c r="U369" s="116"/>
    </row>
    <row r="370" spans="1:21" x14ac:dyDescent="0.25">
      <c r="A370" s="116"/>
      <c r="B370" s="116"/>
      <c r="C370" s="116"/>
      <c r="D370" s="116"/>
      <c r="E370" s="116"/>
      <c r="F370" s="116"/>
      <c r="G370" s="116"/>
      <c r="H370" s="116"/>
      <c r="I370" s="116"/>
      <c r="J370" s="116"/>
      <c r="K370" s="116"/>
      <c r="L370" s="116"/>
      <c r="M370" s="116"/>
      <c r="N370" s="116"/>
      <c r="O370" s="116"/>
      <c r="P370" s="116"/>
      <c r="Q370" s="116"/>
      <c r="R370" s="116"/>
      <c r="S370" s="116"/>
      <c r="T370" s="116"/>
      <c r="U370" s="116"/>
    </row>
    <row r="371" spans="1:21" x14ac:dyDescent="0.25">
      <c r="A371" s="116"/>
      <c r="B371" s="116"/>
      <c r="C371" s="116"/>
      <c r="D371" s="116"/>
      <c r="E371" s="116"/>
      <c r="F371" s="116"/>
      <c r="G371" s="116"/>
      <c r="H371" s="116"/>
      <c r="I371" s="116"/>
      <c r="J371" s="116"/>
      <c r="K371" s="116"/>
      <c r="L371" s="116"/>
      <c r="M371" s="116"/>
      <c r="N371" s="116"/>
      <c r="O371" s="116"/>
      <c r="P371" s="116"/>
      <c r="Q371" s="116"/>
      <c r="R371" s="116"/>
      <c r="S371" s="116"/>
      <c r="T371" s="116"/>
      <c r="U371" s="116"/>
    </row>
    <row r="372" spans="1:21" x14ac:dyDescent="0.25">
      <c r="A372" s="116"/>
      <c r="B372" s="116"/>
      <c r="C372" s="116"/>
      <c r="D372" s="116"/>
      <c r="E372" s="116"/>
      <c r="F372" s="116"/>
      <c r="G372" s="116"/>
      <c r="H372" s="116"/>
      <c r="I372" s="116"/>
      <c r="J372" s="116"/>
      <c r="K372" s="116"/>
      <c r="L372" s="116"/>
      <c r="M372" s="116"/>
      <c r="N372" s="116"/>
      <c r="O372" s="116"/>
      <c r="P372" s="116"/>
      <c r="Q372" s="116"/>
      <c r="R372" s="116"/>
      <c r="S372" s="116"/>
      <c r="T372" s="116"/>
      <c r="U372" s="116"/>
    </row>
    <row r="373" spans="1:21" x14ac:dyDescent="0.25">
      <c r="A373" s="116"/>
      <c r="B373" s="116"/>
      <c r="C373" s="116"/>
      <c r="D373" s="116"/>
      <c r="E373" s="116"/>
      <c r="F373" s="116"/>
      <c r="G373" s="116"/>
      <c r="H373" s="116"/>
      <c r="I373" s="116"/>
      <c r="J373" s="116"/>
      <c r="K373" s="116"/>
      <c r="L373" s="116"/>
      <c r="M373" s="116"/>
      <c r="N373" s="116"/>
      <c r="O373" s="116"/>
      <c r="P373" s="116"/>
      <c r="Q373" s="116"/>
      <c r="R373" s="116"/>
      <c r="S373" s="116"/>
      <c r="T373" s="116"/>
      <c r="U373" s="116"/>
    </row>
    <row r="374" spans="1:21" x14ac:dyDescent="0.25">
      <c r="A374" s="116"/>
      <c r="B374" s="116"/>
      <c r="C374" s="116"/>
      <c r="D374" s="116"/>
      <c r="E374" s="116"/>
      <c r="F374" s="116"/>
      <c r="G374" s="116"/>
      <c r="H374" s="116"/>
      <c r="I374" s="116"/>
      <c r="J374" s="116"/>
      <c r="K374" s="116"/>
      <c r="L374" s="116"/>
      <c r="M374" s="116"/>
      <c r="N374" s="116"/>
      <c r="O374" s="116"/>
      <c r="P374" s="116"/>
      <c r="Q374" s="116"/>
      <c r="R374" s="116"/>
      <c r="S374" s="116"/>
      <c r="T374" s="116"/>
      <c r="U374" s="116"/>
    </row>
    <row r="375" spans="1:21" x14ac:dyDescent="0.25">
      <c r="A375" s="116"/>
      <c r="B375" s="116"/>
      <c r="C375" s="116"/>
      <c r="D375" s="116"/>
      <c r="E375" s="116"/>
      <c r="F375" s="116"/>
      <c r="G375" s="116"/>
      <c r="H375" s="116"/>
      <c r="I375" s="116"/>
      <c r="J375" s="116"/>
      <c r="K375" s="116"/>
      <c r="L375" s="116"/>
      <c r="M375" s="116"/>
      <c r="N375" s="116"/>
      <c r="O375" s="116"/>
      <c r="P375" s="116"/>
      <c r="Q375" s="116"/>
      <c r="R375" s="116"/>
      <c r="S375" s="116"/>
      <c r="T375" s="116"/>
      <c r="U375" s="116"/>
    </row>
    <row r="376" spans="1:21" x14ac:dyDescent="0.25">
      <c r="A376" s="116"/>
      <c r="B376" s="116"/>
      <c r="C376" s="116"/>
      <c r="D376" s="116"/>
      <c r="E376" s="116"/>
      <c r="F376" s="116"/>
      <c r="G376" s="116"/>
      <c r="H376" s="116"/>
      <c r="I376" s="116"/>
      <c r="J376" s="116"/>
      <c r="K376" s="116"/>
      <c r="L376" s="116"/>
      <c r="M376" s="116"/>
      <c r="N376" s="116"/>
      <c r="O376" s="116"/>
      <c r="P376" s="116"/>
      <c r="Q376" s="116"/>
      <c r="R376" s="116"/>
      <c r="S376" s="116"/>
      <c r="T376" s="116"/>
      <c r="U376" s="116"/>
    </row>
    <row r="377" spans="1:21" x14ac:dyDescent="0.25">
      <c r="A377" s="116"/>
      <c r="B377" s="116"/>
      <c r="C377" s="116"/>
      <c r="D377" s="116"/>
      <c r="E377" s="116"/>
      <c r="F377" s="116"/>
      <c r="G377" s="116"/>
      <c r="H377" s="116"/>
      <c r="I377" s="116"/>
      <c r="J377" s="116"/>
      <c r="K377" s="116"/>
      <c r="L377" s="116"/>
      <c r="M377" s="116"/>
      <c r="N377" s="116"/>
      <c r="O377" s="116"/>
      <c r="P377" s="116"/>
      <c r="Q377" s="116"/>
      <c r="R377" s="116"/>
      <c r="S377" s="116"/>
      <c r="T377" s="116"/>
      <c r="U377" s="116"/>
    </row>
    <row r="378" spans="1:21" x14ac:dyDescent="0.25">
      <c r="A378" s="116"/>
      <c r="B378" s="116"/>
      <c r="C378" s="116"/>
      <c r="D378" s="116"/>
      <c r="E378" s="116"/>
      <c r="F378" s="116"/>
      <c r="G378" s="116"/>
      <c r="H378" s="116"/>
      <c r="I378" s="116"/>
      <c r="J378" s="116"/>
      <c r="K378" s="116"/>
      <c r="L378" s="116"/>
      <c r="M378" s="116"/>
      <c r="N378" s="116"/>
      <c r="O378" s="116"/>
      <c r="P378" s="116"/>
      <c r="Q378" s="116"/>
      <c r="R378" s="116"/>
      <c r="S378" s="116"/>
      <c r="T378" s="116"/>
      <c r="U378" s="116"/>
    </row>
    <row r="379" spans="1:21" x14ac:dyDescent="0.25">
      <c r="A379" s="116"/>
      <c r="B379" s="116"/>
      <c r="C379" s="116"/>
      <c r="D379" s="116"/>
      <c r="E379" s="116"/>
      <c r="F379" s="116"/>
      <c r="G379" s="116"/>
      <c r="H379" s="116"/>
      <c r="I379" s="116"/>
      <c r="J379" s="116"/>
      <c r="K379" s="116"/>
      <c r="L379" s="116"/>
      <c r="M379" s="116"/>
      <c r="N379" s="116"/>
      <c r="O379" s="116"/>
      <c r="P379" s="116"/>
      <c r="Q379" s="116"/>
      <c r="R379" s="116"/>
      <c r="S379" s="116"/>
      <c r="T379" s="116"/>
      <c r="U379" s="116"/>
    </row>
    <row r="380" spans="1:21" x14ac:dyDescent="0.25">
      <c r="A380" s="116"/>
      <c r="B380" s="116"/>
      <c r="C380" s="116"/>
      <c r="D380" s="116"/>
      <c r="E380" s="116"/>
      <c r="F380" s="116"/>
      <c r="G380" s="116"/>
      <c r="H380" s="116"/>
      <c r="I380" s="116"/>
      <c r="J380" s="116"/>
      <c r="K380" s="116"/>
      <c r="L380" s="116"/>
      <c r="M380" s="116"/>
      <c r="N380" s="116"/>
      <c r="O380" s="116"/>
      <c r="P380" s="116"/>
      <c r="Q380" s="116"/>
      <c r="R380" s="116"/>
      <c r="S380" s="116"/>
      <c r="T380" s="116"/>
      <c r="U380" s="116"/>
    </row>
    <row r="381" spans="1:21" x14ac:dyDescent="0.25">
      <c r="A381" s="116"/>
      <c r="B381" s="116"/>
      <c r="C381" s="116"/>
      <c r="D381" s="116"/>
      <c r="E381" s="116"/>
      <c r="F381" s="116"/>
      <c r="G381" s="116"/>
      <c r="H381" s="116"/>
      <c r="I381" s="116"/>
      <c r="J381" s="116"/>
      <c r="K381" s="116"/>
      <c r="L381" s="116"/>
      <c r="M381" s="116"/>
      <c r="N381" s="116"/>
      <c r="O381" s="116"/>
      <c r="P381" s="116"/>
      <c r="Q381" s="116"/>
      <c r="R381" s="116"/>
      <c r="S381" s="116"/>
      <c r="T381" s="116"/>
      <c r="U381" s="116"/>
    </row>
    <row r="382" spans="1:21" x14ac:dyDescent="0.25">
      <c r="A382" s="116"/>
      <c r="B382" s="116"/>
      <c r="C382" s="116"/>
      <c r="D382" s="116"/>
      <c r="E382" s="116"/>
      <c r="F382" s="116"/>
      <c r="G382" s="116"/>
      <c r="H382" s="116"/>
      <c r="I382" s="116"/>
      <c r="J382" s="116"/>
      <c r="K382" s="116"/>
      <c r="L382" s="116"/>
      <c r="M382" s="116"/>
      <c r="N382" s="116"/>
      <c r="O382" s="116"/>
      <c r="P382" s="116"/>
      <c r="Q382" s="116"/>
      <c r="R382" s="116"/>
      <c r="S382" s="116"/>
      <c r="T382" s="116"/>
      <c r="U382" s="1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38" customWidth="1"/>
    <col min="2" max="2" width="30.140625" style="38" customWidth="1"/>
    <col min="3" max="3" width="12.28515625" style="38" customWidth="1"/>
    <col min="4" max="5" width="15" style="38" customWidth="1"/>
    <col min="6" max="7" width="13.28515625" style="38" customWidth="1"/>
    <col min="8" max="8" width="19.5703125" style="38" customWidth="1"/>
    <col min="9" max="9" width="19.42578125" style="38" customWidth="1"/>
    <col min="10" max="10" width="25.85546875" style="38" customWidth="1"/>
    <col min="11" max="11" width="24.5703125" style="38" customWidth="1"/>
    <col min="12" max="12" width="30.85546875" style="38" customWidth="1"/>
    <col min="13" max="13" width="27.140625" style="38" customWidth="1"/>
    <col min="14" max="14" width="32.42578125" style="38" customWidth="1"/>
    <col min="15" max="15" width="13.28515625" style="38" hidden="1" customWidth="1"/>
    <col min="16" max="16" width="8.7109375" style="38" hidden="1" customWidth="1"/>
    <col min="17" max="17" width="12.7109375" style="38" hidden="1" customWidth="1"/>
    <col min="18" max="18" width="0" style="38" hidden="1" customWidth="1"/>
    <col min="19" max="19" width="17" style="38" hidden="1" customWidth="1"/>
    <col min="20" max="21" width="12" style="38" hidden="1" customWidth="1"/>
    <col min="22" max="22" width="11" style="38" hidden="1" customWidth="1"/>
    <col min="23" max="25" width="17.7109375" style="38" hidden="1" customWidth="1"/>
    <col min="26" max="26" width="46.5703125" style="38" hidden="1" customWidth="1"/>
    <col min="27" max="28" width="12.28515625" style="38" customWidth="1"/>
    <col min="29" max="16384" width="9.140625" style="38"/>
  </cols>
  <sheetData>
    <row r="1" spans="1:28" ht="18.75" x14ac:dyDescent="0.25">
      <c r="Z1" s="16" t="s">
        <v>22</v>
      </c>
    </row>
    <row r="2" spans="1:28" ht="18.75" x14ac:dyDescent="0.3">
      <c r="Z2" s="14" t="s">
        <v>6</v>
      </c>
    </row>
    <row r="3" spans="1:28" ht="18.75" x14ac:dyDescent="0.3">
      <c r="Z3" s="14" t="s">
        <v>21</v>
      </c>
    </row>
    <row r="4" spans="1:28" s="75" customFormat="1" ht="15.75" x14ac:dyDescent="0.25">
      <c r="D4" s="12"/>
      <c r="E4" s="12"/>
      <c r="F4" s="12"/>
      <c r="G4" s="239" t="str">
        <f>'1. паспорт местоположение'!$A$5</f>
        <v>Год раскрытия информации: 2025 год</v>
      </c>
      <c r="H4" s="239"/>
      <c r="I4" s="239"/>
      <c r="J4" s="239"/>
    </row>
    <row r="5" spans="1:28" s="75" customFormat="1" ht="15.75" x14ac:dyDescent="0.2">
      <c r="G5" s="276"/>
      <c r="H5" s="276"/>
      <c r="I5" s="276"/>
      <c r="J5" s="276"/>
    </row>
    <row r="6" spans="1:28" s="75" customFormat="1" ht="18.75" x14ac:dyDescent="0.2">
      <c r="D6" s="17"/>
      <c r="E6" s="17"/>
      <c r="F6" s="17"/>
      <c r="G6" s="243" t="s">
        <v>5</v>
      </c>
      <c r="H6" s="243"/>
      <c r="I6" s="243"/>
      <c r="J6" s="243"/>
      <c r="K6" s="17"/>
      <c r="L6" s="17"/>
      <c r="M6" s="17"/>
      <c r="N6" s="17"/>
      <c r="O6" s="17"/>
      <c r="P6" s="17"/>
      <c r="Q6" s="17"/>
      <c r="R6" s="17"/>
      <c r="S6" s="17"/>
      <c r="T6" s="17"/>
      <c r="U6" s="17"/>
      <c r="V6" s="17"/>
    </row>
    <row r="7" spans="1:28" s="75" customFormat="1" ht="18.75" x14ac:dyDescent="0.2">
      <c r="D7" s="80"/>
      <c r="E7" s="80"/>
      <c r="F7" s="80"/>
      <c r="G7" s="243"/>
      <c r="H7" s="243"/>
      <c r="I7" s="243"/>
      <c r="J7" s="243"/>
      <c r="K7" s="17"/>
      <c r="L7" s="17"/>
      <c r="M7" s="17"/>
      <c r="N7" s="17"/>
      <c r="O7" s="17"/>
      <c r="P7" s="17"/>
      <c r="Q7" s="17"/>
      <c r="R7" s="17"/>
      <c r="S7" s="17"/>
      <c r="T7" s="17"/>
      <c r="U7" s="17"/>
      <c r="V7" s="17"/>
    </row>
    <row r="8" spans="1:28" s="75" customFormat="1" ht="18.75" x14ac:dyDescent="0.2">
      <c r="D8" s="18"/>
      <c r="E8" s="18"/>
      <c r="F8" s="18"/>
      <c r="G8" s="244" t="s">
        <v>264</v>
      </c>
      <c r="H8" s="244"/>
      <c r="I8" s="244"/>
      <c r="J8" s="244"/>
      <c r="K8" s="17"/>
      <c r="L8" s="17"/>
      <c r="M8" s="17"/>
      <c r="N8" s="17"/>
      <c r="O8" s="17"/>
      <c r="P8" s="17"/>
      <c r="Q8" s="17"/>
      <c r="R8" s="17"/>
      <c r="S8" s="17"/>
      <c r="T8" s="17"/>
      <c r="U8" s="17"/>
      <c r="V8" s="17"/>
    </row>
    <row r="9" spans="1:28" s="75" customFormat="1" ht="18.75" x14ac:dyDescent="0.2">
      <c r="D9" s="15"/>
      <c r="E9" s="15"/>
      <c r="F9" s="15"/>
      <c r="G9" s="249" t="s">
        <v>4</v>
      </c>
      <c r="H9" s="249"/>
      <c r="I9" s="249"/>
      <c r="J9" s="249"/>
      <c r="K9" s="17"/>
      <c r="L9" s="17"/>
      <c r="M9" s="17"/>
      <c r="N9" s="17"/>
      <c r="O9" s="17"/>
      <c r="P9" s="17"/>
      <c r="Q9" s="17"/>
      <c r="R9" s="17"/>
      <c r="S9" s="17"/>
      <c r="T9" s="17"/>
      <c r="U9" s="17"/>
      <c r="V9" s="17"/>
    </row>
    <row r="10" spans="1:28" s="75" customFormat="1" ht="18.75" x14ac:dyDescent="0.2">
      <c r="D10" s="80"/>
      <c r="E10" s="80"/>
      <c r="F10" s="80"/>
      <c r="G10" s="243"/>
      <c r="H10" s="243"/>
      <c r="I10" s="243"/>
      <c r="J10" s="243"/>
      <c r="K10" s="17"/>
      <c r="L10" s="17"/>
      <c r="M10" s="17"/>
      <c r="N10" s="17"/>
      <c r="O10" s="17"/>
      <c r="P10" s="17"/>
      <c r="Q10" s="17"/>
      <c r="R10" s="17"/>
      <c r="S10" s="17"/>
      <c r="T10" s="17"/>
      <c r="U10" s="17"/>
      <c r="V10" s="17"/>
    </row>
    <row r="11" spans="1:28" s="75" customFormat="1" ht="18.75" x14ac:dyDescent="0.2">
      <c r="D11" s="18"/>
      <c r="E11" s="18"/>
      <c r="F11" s="18"/>
      <c r="G11" s="244" t="str">
        <f>'1. паспорт местоположение'!$A$12</f>
        <v>L_Che367</v>
      </c>
      <c r="H11" s="244"/>
      <c r="I11" s="244"/>
      <c r="J11" s="244"/>
      <c r="K11" s="17"/>
      <c r="L11" s="17"/>
      <c r="M11" s="17"/>
      <c r="N11" s="17"/>
      <c r="O11" s="17"/>
      <c r="P11" s="17"/>
      <c r="Q11" s="17"/>
      <c r="R11" s="17"/>
      <c r="S11" s="17"/>
      <c r="T11" s="17"/>
      <c r="U11" s="17"/>
      <c r="V11" s="17"/>
    </row>
    <row r="12" spans="1:28" s="75" customFormat="1" ht="18.75" x14ac:dyDescent="0.2">
      <c r="D12" s="15"/>
      <c r="E12" s="15"/>
      <c r="F12" s="15"/>
      <c r="G12" s="249" t="s">
        <v>3</v>
      </c>
      <c r="H12" s="249"/>
      <c r="I12" s="249"/>
      <c r="J12" s="249"/>
      <c r="K12" s="17"/>
      <c r="L12" s="17"/>
      <c r="M12" s="17"/>
      <c r="N12" s="17"/>
      <c r="O12" s="17"/>
      <c r="P12" s="17"/>
      <c r="Q12" s="17"/>
      <c r="R12" s="17"/>
      <c r="S12" s="17"/>
      <c r="T12" s="17"/>
      <c r="U12" s="17"/>
      <c r="V12" s="17"/>
    </row>
    <row r="13" spans="1:28" s="78" customFormat="1" ht="15.75" customHeight="1" x14ac:dyDescent="0.2">
      <c r="D13" s="1"/>
      <c r="E13" s="1"/>
      <c r="F13" s="1"/>
      <c r="G13" s="251"/>
      <c r="H13" s="251"/>
      <c r="I13" s="251"/>
      <c r="J13" s="251"/>
      <c r="K13" s="1"/>
      <c r="L13" s="1"/>
      <c r="M13" s="1"/>
      <c r="N13" s="1"/>
      <c r="O13" s="1"/>
      <c r="P13" s="1"/>
      <c r="Q13" s="1"/>
      <c r="R13" s="1"/>
      <c r="S13" s="1"/>
      <c r="T13" s="1"/>
      <c r="U13" s="1"/>
      <c r="V13" s="1"/>
    </row>
    <row r="14" spans="1:28" s="25" customFormat="1" ht="112.5" customHeight="1" x14ac:dyDescent="0.2">
      <c r="D14" s="18"/>
      <c r="E14" s="250"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F14" s="250"/>
      <c r="G14" s="250"/>
      <c r="H14" s="250"/>
      <c r="I14" s="250"/>
      <c r="J14" s="250"/>
      <c r="K14" s="250"/>
      <c r="L14" s="18"/>
      <c r="M14" s="18"/>
      <c r="N14" s="18"/>
      <c r="O14" s="18"/>
      <c r="P14" s="18"/>
      <c r="Q14" s="18"/>
      <c r="R14" s="18"/>
      <c r="S14" s="18"/>
      <c r="T14" s="18"/>
      <c r="U14" s="18"/>
      <c r="V14" s="18"/>
    </row>
    <row r="15" spans="1:28" s="25" customFormat="1" ht="15" customHeight="1" x14ac:dyDescent="0.2">
      <c r="D15" s="15"/>
      <c r="E15" s="15"/>
      <c r="F15" s="15"/>
      <c r="G15" s="249" t="s">
        <v>2</v>
      </c>
      <c r="H15" s="249"/>
      <c r="I15" s="249"/>
      <c r="J15" s="249"/>
      <c r="K15" s="15"/>
      <c r="L15" s="15"/>
      <c r="M15" s="15"/>
      <c r="N15" s="15"/>
      <c r="O15" s="15"/>
      <c r="P15" s="15"/>
      <c r="Q15" s="15"/>
      <c r="R15" s="15"/>
      <c r="S15" s="15"/>
      <c r="T15" s="15"/>
      <c r="U15" s="15"/>
      <c r="V15" s="15"/>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37"/>
      <c r="AB16" s="37"/>
    </row>
    <row r="17" spans="1:2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37"/>
      <c r="AB17" s="37"/>
    </row>
    <row r="18" spans="1:28"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37"/>
      <c r="AB18" s="37"/>
    </row>
    <row r="19" spans="1:2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37"/>
      <c r="AB19" s="37"/>
    </row>
    <row r="20" spans="1:28" x14ac:dyDescent="0.25">
      <c r="A20" s="278" t="s">
        <v>317</v>
      </c>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39"/>
      <c r="AB20" s="39"/>
    </row>
    <row r="21" spans="1:28" ht="32.25" customHeight="1" x14ac:dyDescent="0.25">
      <c r="A21" s="279" t="s">
        <v>318</v>
      </c>
      <c r="B21" s="280"/>
      <c r="C21" s="280"/>
      <c r="D21" s="280"/>
      <c r="E21" s="280"/>
      <c r="F21" s="280"/>
      <c r="G21" s="280"/>
      <c r="H21" s="280"/>
      <c r="I21" s="280"/>
      <c r="J21" s="280"/>
      <c r="K21" s="280"/>
      <c r="L21" s="281"/>
      <c r="M21" s="282" t="s">
        <v>319</v>
      </c>
      <c r="N21" s="282"/>
      <c r="O21" s="282"/>
      <c r="P21" s="282"/>
      <c r="Q21" s="282"/>
      <c r="R21" s="282"/>
      <c r="S21" s="282"/>
      <c r="T21" s="282"/>
      <c r="U21" s="282"/>
      <c r="V21" s="282"/>
      <c r="W21" s="282"/>
      <c r="X21" s="282"/>
      <c r="Y21" s="282"/>
      <c r="Z21" s="282"/>
    </row>
    <row r="22" spans="1:28" ht="151.5" customHeight="1" x14ac:dyDescent="0.25">
      <c r="A22" s="118" t="s">
        <v>320</v>
      </c>
      <c r="B22" s="119" t="s">
        <v>321</v>
      </c>
      <c r="C22" s="118" t="s">
        <v>322</v>
      </c>
      <c r="D22" s="118" t="s">
        <v>323</v>
      </c>
      <c r="E22" s="118" t="s">
        <v>324</v>
      </c>
      <c r="F22" s="118" t="s">
        <v>325</v>
      </c>
      <c r="G22" s="118" t="s">
        <v>326</v>
      </c>
      <c r="H22" s="118" t="s">
        <v>327</v>
      </c>
      <c r="I22" s="118" t="s">
        <v>328</v>
      </c>
      <c r="J22" s="118" t="s">
        <v>329</v>
      </c>
      <c r="K22" s="119" t="s">
        <v>330</v>
      </c>
      <c r="L22" s="119" t="s">
        <v>331</v>
      </c>
      <c r="M22" s="120" t="s">
        <v>332</v>
      </c>
      <c r="N22" s="119" t="s">
        <v>333</v>
      </c>
      <c r="O22" s="118" t="s">
        <v>334</v>
      </c>
      <c r="P22" s="118" t="s">
        <v>335</v>
      </c>
      <c r="Q22" s="118" t="s">
        <v>336</v>
      </c>
      <c r="R22" s="118" t="s">
        <v>327</v>
      </c>
      <c r="S22" s="118" t="s">
        <v>337</v>
      </c>
      <c r="T22" s="118" t="s">
        <v>338</v>
      </c>
      <c r="U22" s="118" t="s">
        <v>339</v>
      </c>
      <c r="V22" s="118" t="s">
        <v>336</v>
      </c>
      <c r="W22" s="121" t="s">
        <v>340</v>
      </c>
      <c r="X22" s="121" t="s">
        <v>341</v>
      </c>
      <c r="Y22" s="121" t="s">
        <v>342</v>
      </c>
      <c r="Z22" s="40" t="s">
        <v>343</v>
      </c>
    </row>
    <row r="23" spans="1:28" ht="16.5" customHeight="1" x14ac:dyDescent="0.25">
      <c r="A23" s="118">
        <v>1</v>
      </c>
      <c r="B23" s="119">
        <v>2</v>
      </c>
      <c r="C23" s="118">
        <v>3</v>
      </c>
      <c r="D23" s="119">
        <v>4</v>
      </c>
      <c r="E23" s="118">
        <v>5</v>
      </c>
      <c r="F23" s="119">
        <v>6</v>
      </c>
      <c r="G23" s="118">
        <v>7</v>
      </c>
      <c r="H23" s="119">
        <v>8</v>
      </c>
      <c r="I23" s="118">
        <v>9</v>
      </c>
      <c r="J23" s="119">
        <v>10</v>
      </c>
      <c r="K23" s="118">
        <v>11</v>
      </c>
      <c r="L23" s="119">
        <v>12</v>
      </c>
      <c r="M23" s="118">
        <v>13</v>
      </c>
      <c r="N23" s="119">
        <v>14</v>
      </c>
      <c r="O23" s="118">
        <v>15</v>
      </c>
      <c r="P23" s="119">
        <v>16</v>
      </c>
      <c r="Q23" s="118">
        <v>17</v>
      </c>
      <c r="R23" s="119">
        <v>18</v>
      </c>
      <c r="S23" s="118">
        <v>19</v>
      </c>
      <c r="T23" s="119">
        <v>20</v>
      </c>
      <c r="U23" s="118">
        <v>21</v>
      </c>
      <c r="V23" s="119">
        <v>22</v>
      </c>
      <c r="W23" s="118">
        <v>23</v>
      </c>
      <c r="X23" s="119">
        <v>24</v>
      </c>
      <c r="Y23" s="118">
        <v>25</v>
      </c>
      <c r="Z23" s="119">
        <v>26</v>
      </c>
    </row>
    <row r="24" spans="1:28" ht="45.75" customHeight="1" x14ac:dyDescent="0.25">
      <c r="A24" s="41" t="s">
        <v>344</v>
      </c>
      <c r="B24" s="41"/>
      <c r="C24" s="42" t="s">
        <v>345</v>
      </c>
      <c r="D24" s="42" t="s">
        <v>346</v>
      </c>
      <c r="E24" s="42" t="s">
        <v>347</v>
      </c>
      <c r="F24" s="42" t="s">
        <v>348</v>
      </c>
      <c r="G24" s="42" t="s">
        <v>349</v>
      </c>
      <c r="H24" s="42" t="s">
        <v>327</v>
      </c>
      <c r="I24" s="42" t="s">
        <v>350</v>
      </c>
      <c r="J24" s="42" t="s">
        <v>351</v>
      </c>
      <c r="K24" s="122"/>
      <c r="L24" s="42" t="s">
        <v>352</v>
      </c>
      <c r="M24" s="43" t="s">
        <v>353</v>
      </c>
      <c r="N24" s="122" t="s">
        <v>294</v>
      </c>
      <c r="O24" s="122" t="s">
        <v>294</v>
      </c>
      <c r="P24" s="122" t="s">
        <v>294</v>
      </c>
      <c r="Q24" s="122" t="s">
        <v>294</v>
      </c>
      <c r="R24" s="122" t="s">
        <v>294</v>
      </c>
      <c r="S24" s="122" t="s">
        <v>294</v>
      </c>
      <c r="T24" s="122" t="s">
        <v>294</v>
      </c>
      <c r="U24" s="122" t="s">
        <v>294</v>
      </c>
      <c r="V24" s="122" t="s">
        <v>294</v>
      </c>
      <c r="W24" s="122" t="s">
        <v>294</v>
      </c>
      <c r="X24" s="122" t="s">
        <v>294</v>
      </c>
      <c r="Y24" s="122" t="s">
        <v>294</v>
      </c>
      <c r="Z24" s="123" t="s">
        <v>354</v>
      </c>
    </row>
    <row r="25" spans="1:28" x14ac:dyDescent="0.25">
      <c r="A25" s="122" t="s">
        <v>355</v>
      </c>
      <c r="B25" s="122" t="s">
        <v>356</v>
      </c>
      <c r="C25" s="122" t="s">
        <v>294</v>
      </c>
      <c r="D25" s="122" t="s">
        <v>294</v>
      </c>
      <c r="E25" s="122" t="s">
        <v>294</v>
      </c>
      <c r="F25" s="122" t="s">
        <v>294</v>
      </c>
      <c r="G25" s="122" t="s">
        <v>294</v>
      </c>
      <c r="H25" s="122" t="s">
        <v>294</v>
      </c>
      <c r="I25" s="122" t="s">
        <v>294</v>
      </c>
      <c r="J25" s="122" t="s">
        <v>294</v>
      </c>
      <c r="K25" s="42" t="s">
        <v>357</v>
      </c>
      <c r="L25" s="122" t="s">
        <v>294</v>
      </c>
      <c r="M25" s="42" t="s">
        <v>358</v>
      </c>
      <c r="N25" s="122" t="s">
        <v>294</v>
      </c>
      <c r="O25" s="122" t="s">
        <v>294</v>
      </c>
      <c r="P25" s="122" t="s">
        <v>294</v>
      </c>
      <c r="Q25" s="122" t="s">
        <v>294</v>
      </c>
      <c r="R25" s="122" t="s">
        <v>294</v>
      </c>
      <c r="S25" s="122" t="s">
        <v>294</v>
      </c>
      <c r="T25" s="122" t="s">
        <v>294</v>
      </c>
      <c r="U25" s="122" t="s">
        <v>294</v>
      </c>
      <c r="V25" s="122" t="s">
        <v>294</v>
      </c>
      <c r="W25" s="122" t="s">
        <v>294</v>
      </c>
      <c r="X25" s="122" t="s">
        <v>294</v>
      </c>
      <c r="Y25" s="122" t="s">
        <v>294</v>
      </c>
      <c r="Z25" s="122" t="s">
        <v>294</v>
      </c>
    </row>
    <row r="26" spans="1:28" x14ac:dyDescent="0.25">
      <c r="A26" s="122" t="s">
        <v>355</v>
      </c>
      <c r="B26" s="122" t="s">
        <v>359</v>
      </c>
      <c r="C26" s="122" t="s">
        <v>294</v>
      </c>
      <c r="D26" s="122" t="s">
        <v>294</v>
      </c>
      <c r="E26" s="122" t="s">
        <v>294</v>
      </c>
      <c r="F26" s="122" t="s">
        <v>294</v>
      </c>
      <c r="G26" s="122" t="s">
        <v>294</v>
      </c>
      <c r="H26" s="122" t="s">
        <v>294</v>
      </c>
      <c r="I26" s="122" t="s">
        <v>294</v>
      </c>
      <c r="J26" s="122" t="s">
        <v>294</v>
      </c>
      <c r="K26" s="42" t="s">
        <v>360</v>
      </c>
      <c r="L26" s="122" t="s">
        <v>294</v>
      </c>
      <c r="M26" s="42" t="s">
        <v>361</v>
      </c>
      <c r="N26" s="122" t="s">
        <v>294</v>
      </c>
      <c r="O26" s="122" t="s">
        <v>294</v>
      </c>
      <c r="P26" s="122" t="s">
        <v>294</v>
      </c>
      <c r="Q26" s="122" t="s">
        <v>294</v>
      </c>
      <c r="R26" s="122" t="s">
        <v>294</v>
      </c>
      <c r="S26" s="122" t="s">
        <v>294</v>
      </c>
      <c r="T26" s="122" t="s">
        <v>294</v>
      </c>
      <c r="U26" s="122" t="s">
        <v>294</v>
      </c>
      <c r="V26" s="122" t="s">
        <v>294</v>
      </c>
      <c r="W26" s="122" t="s">
        <v>294</v>
      </c>
      <c r="X26" s="122" t="s">
        <v>294</v>
      </c>
      <c r="Y26" s="122" t="s">
        <v>294</v>
      </c>
      <c r="Z26" s="122" t="s">
        <v>294</v>
      </c>
    </row>
    <row r="27" spans="1:28" x14ac:dyDescent="0.25">
      <c r="A27" s="122" t="s">
        <v>355</v>
      </c>
      <c r="B27" s="122" t="s">
        <v>362</v>
      </c>
      <c r="C27" s="122" t="s">
        <v>294</v>
      </c>
      <c r="D27" s="122" t="s">
        <v>294</v>
      </c>
      <c r="E27" s="122" t="s">
        <v>294</v>
      </c>
      <c r="F27" s="122" t="s">
        <v>294</v>
      </c>
      <c r="G27" s="122" t="s">
        <v>294</v>
      </c>
      <c r="H27" s="122" t="s">
        <v>294</v>
      </c>
      <c r="I27" s="122" t="s">
        <v>294</v>
      </c>
      <c r="J27" s="122" t="s">
        <v>294</v>
      </c>
      <c r="K27" s="42" t="s">
        <v>363</v>
      </c>
      <c r="L27" s="122" t="s">
        <v>294</v>
      </c>
      <c r="M27" s="122" t="s">
        <v>294</v>
      </c>
      <c r="N27" s="122" t="s">
        <v>294</v>
      </c>
      <c r="O27" s="122" t="s">
        <v>294</v>
      </c>
      <c r="P27" s="122" t="s">
        <v>294</v>
      </c>
      <c r="Q27" s="122" t="s">
        <v>294</v>
      </c>
      <c r="R27" s="122" t="s">
        <v>294</v>
      </c>
      <c r="S27" s="122" t="s">
        <v>294</v>
      </c>
      <c r="T27" s="122" t="s">
        <v>294</v>
      </c>
      <c r="U27" s="122" t="s">
        <v>294</v>
      </c>
      <c r="V27" s="122" t="s">
        <v>294</v>
      </c>
      <c r="W27" s="122" t="s">
        <v>294</v>
      </c>
      <c r="X27" s="122" t="s">
        <v>294</v>
      </c>
      <c r="Y27" s="122" t="s">
        <v>294</v>
      </c>
      <c r="Z27" s="122" t="s">
        <v>294</v>
      </c>
    </row>
    <row r="28" spans="1:28" x14ac:dyDescent="0.25">
      <c r="A28" s="122" t="s">
        <v>355</v>
      </c>
      <c r="B28" s="122" t="s">
        <v>364</v>
      </c>
      <c r="C28" s="122" t="s">
        <v>294</v>
      </c>
      <c r="D28" s="122" t="s">
        <v>294</v>
      </c>
      <c r="E28" s="122" t="s">
        <v>294</v>
      </c>
      <c r="F28" s="122" t="s">
        <v>294</v>
      </c>
      <c r="G28" s="122" t="s">
        <v>294</v>
      </c>
      <c r="H28" s="122" t="s">
        <v>294</v>
      </c>
      <c r="I28" s="122" t="s">
        <v>294</v>
      </c>
      <c r="J28" s="122" t="s">
        <v>294</v>
      </c>
      <c r="K28" s="42" t="s">
        <v>365</v>
      </c>
      <c r="L28" s="122" t="s">
        <v>294</v>
      </c>
      <c r="M28" s="122" t="s">
        <v>294</v>
      </c>
      <c r="N28" s="122" t="s">
        <v>294</v>
      </c>
      <c r="O28" s="122" t="s">
        <v>294</v>
      </c>
      <c r="P28" s="122" t="s">
        <v>294</v>
      </c>
      <c r="Q28" s="122" t="s">
        <v>294</v>
      </c>
      <c r="R28" s="122" t="s">
        <v>294</v>
      </c>
      <c r="S28" s="122" t="s">
        <v>294</v>
      </c>
      <c r="T28" s="122" t="s">
        <v>294</v>
      </c>
      <c r="U28" s="122" t="s">
        <v>294</v>
      </c>
      <c r="V28" s="122" t="s">
        <v>294</v>
      </c>
      <c r="W28" s="122" t="s">
        <v>294</v>
      </c>
      <c r="X28" s="122" t="s">
        <v>294</v>
      </c>
      <c r="Y28" s="122" t="s">
        <v>294</v>
      </c>
      <c r="Z28" s="122" t="s">
        <v>294</v>
      </c>
    </row>
    <row r="29" spans="1:28" x14ac:dyDescent="0.25">
      <c r="A29" s="122" t="s">
        <v>361</v>
      </c>
      <c r="B29" s="122" t="s">
        <v>361</v>
      </c>
      <c r="C29" s="122" t="s">
        <v>361</v>
      </c>
      <c r="D29" s="122" t="s">
        <v>361</v>
      </c>
      <c r="E29" s="122" t="s">
        <v>361</v>
      </c>
      <c r="F29" s="122" t="s">
        <v>361</v>
      </c>
      <c r="G29" s="122" t="s">
        <v>361</v>
      </c>
      <c r="H29" s="122" t="s">
        <v>361</v>
      </c>
      <c r="I29" s="122" t="s">
        <v>361</v>
      </c>
      <c r="J29" s="122" t="s">
        <v>361</v>
      </c>
      <c r="K29" s="122" t="s">
        <v>361</v>
      </c>
      <c r="L29" s="122" t="s">
        <v>294</v>
      </c>
      <c r="M29" s="122" t="s">
        <v>294</v>
      </c>
      <c r="N29" s="122" t="s">
        <v>294</v>
      </c>
      <c r="O29" s="122" t="s">
        <v>294</v>
      </c>
      <c r="P29" s="122" t="s">
        <v>294</v>
      </c>
      <c r="Q29" s="122" t="s">
        <v>294</v>
      </c>
      <c r="R29" s="122" t="s">
        <v>294</v>
      </c>
      <c r="S29" s="122" t="s">
        <v>294</v>
      </c>
      <c r="T29" s="122" t="s">
        <v>294</v>
      </c>
      <c r="U29" s="122" t="s">
        <v>294</v>
      </c>
      <c r="V29" s="122" t="s">
        <v>294</v>
      </c>
      <c r="W29" s="122" t="s">
        <v>294</v>
      </c>
      <c r="X29" s="122" t="s">
        <v>294</v>
      </c>
      <c r="Y29" s="122" t="s">
        <v>294</v>
      </c>
      <c r="Z29" s="122" t="s">
        <v>294</v>
      </c>
    </row>
    <row r="30" spans="1:28" ht="30" x14ac:dyDescent="0.25">
      <c r="A30" s="41" t="s">
        <v>344</v>
      </c>
      <c r="B30" s="41"/>
      <c r="C30" s="42" t="s">
        <v>366</v>
      </c>
      <c r="D30" s="42" t="s">
        <v>367</v>
      </c>
      <c r="E30" s="42" t="s">
        <v>368</v>
      </c>
      <c r="F30" s="42" t="s">
        <v>369</v>
      </c>
      <c r="G30" s="42" t="s">
        <v>370</v>
      </c>
      <c r="H30" s="42" t="s">
        <v>327</v>
      </c>
      <c r="I30" s="42" t="s">
        <v>371</v>
      </c>
      <c r="J30" s="42" t="s">
        <v>372</v>
      </c>
      <c r="K30" s="122"/>
      <c r="L30" s="122" t="s">
        <v>294</v>
      </c>
      <c r="M30" s="122" t="s">
        <v>294</v>
      </c>
      <c r="N30" s="122" t="s">
        <v>294</v>
      </c>
      <c r="O30" s="122" t="s">
        <v>294</v>
      </c>
      <c r="P30" s="122" t="s">
        <v>294</v>
      </c>
      <c r="Q30" s="122" t="s">
        <v>294</v>
      </c>
      <c r="R30" s="122" t="s">
        <v>294</v>
      </c>
      <c r="S30" s="122" t="s">
        <v>294</v>
      </c>
      <c r="T30" s="122" t="s">
        <v>294</v>
      </c>
      <c r="U30" s="122" t="s">
        <v>294</v>
      </c>
      <c r="V30" s="122" t="s">
        <v>294</v>
      </c>
      <c r="W30" s="122" t="s">
        <v>294</v>
      </c>
      <c r="X30" s="122" t="s">
        <v>294</v>
      </c>
      <c r="Y30" s="122" t="s">
        <v>294</v>
      </c>
      <c r="Z30" s="122" t="s">
        <v>294</v>
      </c>
    </row>
    <row r="31" spans="1:28" x14ac:dyDescent="0.25">
      <c r="A31" s="122" t="s">
        <v>361</v>
      </c>
      <c r="B31" s="122" t="s">
        <v>361</v>
      </c>
      <c r="C31" s="122" t="s">
        <v>361</v>
      </c>
      <c r="D31" s="122" t="s">
        <v>361</v>
      </c>
      <c r="E31" s="122" t="s">
        <v>361</v>
      </c>
      <c r="F31" s="122" t="s">
        <v>361</v>
      </c>
      <c r="G31" s="122" t="s">
        <v>361</v>
      </c>
      <c r="H31" s="122" t="s">
        <v>361</v>
      </c>
      <c r="I31" s="122" t="s">
        <v>361</v>
      </c>
      <c r="J31" s="122" t="s">
        <v>361</v>
      </c>
      <c r="K31" s="122" t="s">
        <v>361</v>
      </c>
      <c r="L31" s="122" t="s">
        <v>294</v>
      </c>
      <c r="M31" s="122" t="s">
        <v>294</v>
      </c>
      <c r="N31" s="122" t="s">
        <v>294</v>
      </c>
      <c r="O31" s="122" t="s">
        <v>294</v>
      </c>
      <c r="P31" s="122" t="s">
        <v>294</v>
      </c>
      <c r="Q31" s="122" t="s">
        <v>294</v>
      </c>
      <c r="R31" s="122" t="s">
        <v>294</v>
      </c>
      <c r="S31" s="122" t="s">
        <v>294</v>
      </c>
      <c r="T31" s="122" t="s">
        <v>294</v>
      </c>
      <c r="U31" s="122" t="s">
        <v>294</v>
      </c>
      <c r="V31" s="122" t="s">
        <v>294</v>
      </c>
      <c r="W31" s="122" t="s">
        <v>294</v>
      </c>
      <c r="X31" s="122" t="s">
        <v>294</v>
      </c>
      <c r="Y31" s="122" t="s">
        <v>294</v>
      </c>
      <c r="Z31" s="122" t="s">
        <v>294</v>
      </c>
    </row>
    <row r="35" spans="1:1" x14ac:dyDescent="0.25">
      <c r="A35" s="124"/>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2" s="75" customFormat="1" ht="18.75" customHeight="1" x14ac:dyDescent="0.2">
      <c r="A1" s="19"/>
      <c r="B1" s="19"/>
      <c r="O1" s="16" t="s">
        <v>22</v>
      </c>
    </row>
    <row r="2" spans="1:22" s="75" customFormat="1" ht="18.75" customHeight="1" x14ac:dyDescent="0.3">
      <c r="A2" s="19"/>
      <c r="B2" s="19"/>
      <c r="O2" s="14" t="s">
        <v>6</v>
      </c>
    </row>
    <row r="3" spans="1:22" s="75" customFormat="1" ht="18.75" x14ac:dyDescent="0.3">
      <c r="A3" s="13"/>
      <c r="B3" s="13"/>
      <c r="D3" s="239"/>
      <c r="E3" s="239"/>
      <c r="F3" s="239"/>
      <c r="G3" s="239"/>
      <c r="H3" s="239"/>
      <c r="I3" s="239"/>
      <c r="O3" s="14" t="s">
        <v>21</v>
      </c>
    </row>
    <row r="4" spans="1:22" s="75" customFormat="1" ht="18.75" x14ac:dyDescent="0.3">
      <c r="A4" s="13"/>
      <c r="B4" s="13"/>
      <c r="D4" s="287"/>
      <c r="E4" s="287"/>
      <c r="F4" s="287"/>
      <c r="G4" s="287"/>
      <c r="H4" s="287"/>
      <c r="I4" s="287"/>
      <c r="L4" s="14"/>
    </row>
    <row r="5" spans="1:22" s="75" customFormat="1" ht="15.75" x14ac:dyDescent="0.25">
      <c r="D5" s="239" t="str">
        <f>'1. паспорт местоположение'!$A$5</f>
        <v>Год раскрытия информации: 2025 год</v>
      </c>
      <c r="E5" s="239"/>
      <c r="F5" s="239"/>
      <c r="G5" s="239"/>
      <c r="H5" s="239"/>
      <c r="I5" s="239"/>
      <c r="J5" s="12"/>
    </row>
    <row r="6" spans="1:22" s="75" customFormat="1" ht="15.75" customHeight="1" x14ac:dyDescent="0.2">
      <c r="D6" s="258"/>
      <c r="E6" s="258"/>
      <c r="F6" s="258"/>
      <c r="G6" s="258"/>
      <c r="H6" s="258"/>
      <c r="I6" s="258"/>
    </row>
    <row r="7" spans="1:22" s="75" customFormat="1" ht="18.75" x14ac:dyDescent="0.2">
      <c r="D7" s="243" t="s">
        <v>5</v>
      </c>
      <c r="E7" s="243"/>
      <c r="F7" s="243"/>
      <c r="G7" s="243"/>
      <c r="H7" s="243"/>
      <c r="I7" s="243"/>
      <c r="J7" s="17"/>
      <c r="K7" s="17"/>
      <c r="L7" s="17"/>
      <c r="M7" s="17"/>
      <c r="N7" s="17"/>
      <c r="O7" s="17"/>
      <c r="P7" s="17"/>
      <c r="Q7" s="17"/>
      <c r="R7" s="17"/>
      <c r="S7" s="17"/>
      <c r="T7" s="17"/>
      <c r="U7" s="17"/>
      <c r="V7" s="17"/>
    </row>
    <row r="8" spans="1:22" s="75" customFormat="1" ht="18.75" x14ac:dyDescent="0.2">
      <c r="D8" s="243"/>
      <c r="E8" s="243"/>
      <c r="F8" s="243"/>
      <c r="G8" s="243"/>
      <c r="H8" s="243"/>
      <c r="I8" s="243"/>
      <c r="J8" s="17"/>
      <c r="K8" s="17"/>
      <c r="L8" s="17"/>
      <c r="M8" s="17"/>
      <c r="N8" s="17"/>
      <c r="O8" s="17"/>
      <c r="P8" s="17"/>
      <c r="Q8" s="17"/>
      <c r="R8" s="17"/>
      <c r="S8" s="17"/>
      <c r="T8" s="17"/>
      <c r="U8" s="17"/>
      <c r="V8" s="17"/>
    </row>
    <row r="9" spans="1:22" s="75" customFormat="1" ht="18.75" x14ac:dyDescent="0.2">
      <c r="D9" s="244" t="s">
        <v>264</v>
      </c>
      <c r="E9" s="244"/>
      <c r="F9" s="244"/>
      <c r="G9" s="244"/>
      <c r="H9" s="244"/>
      <c r="I9" s="244"/>
      <c r="J9" s="17"/>
      <c r="K9" s="17"/>
      <c r="L9" s="17"/>
      <c r="M9" s="17"/>
      <c r="N9" s="17"/>
      <c r="O9" s="17"/>
      <c r="P9" s="17"/>
      <c r="Q9" s="17"/>
      <c r="R9" s="17"/>
      <c r="S9" s="17"/>
      <c r="T9" s="17"/>
      <c r="U9" s="17"/>
      <c r="V9" s="17"/>
    </row>
    <row r="10" spans="1:22" s="75" customFormat="1" ht="18.75" x14ac:dyDescent="0.2">
      <c r="D10" s="249" t="s">
        <v>4</v>
      </c>
      <c r="E10" s="249"/>
      <c r="F10" s="249"/>
      <c r="G10" s="249"/>
      <c r="H10" s="249"/>
      <c r="I10" s="249"/>
      <c r="J10" s="17"/>
      <c r="K10" s="17"/>
      <c r="L10" s="17"/>
      <c r="M10" s="17"/>
      <c r="N10" s="17"/>
      <c r="O10" s="17"/>
      <c r="P10" s="17"/>
      <c r="Q10" s="17"/>
      <c r="R10" s="17"/>
      <c r="S10" s="17"/>
      <c r="T10" s="17"/>
      <c r="U10" s="17"/>
      <c r="V10" s="17"/>
    </row>
    <row r="11" spans="1:22" s="75" customFormat="1" ht="18.75" x14ac:dyDescent="0.2">
      <c r="D11" s="243"/>
      <c r="E11" s="243"/>
      <c r="F11" s="243"/>
      <c r="G11" s="243"/>
      <c r="H11" s="243"/>
      <c r="I11" s="243"/>
      <c r="J11" s="17"/>
      <c r="K11" s="17"/>
      <c r="L11" s="17"/>
      <c r="M11" s="17"/>
      <c r="N11" s="17"/>
      <c r="O11" s="17"/>
      <c r="P11" s="17"/>
      <c r="Q11" s="17"/>
      <c r="R11" s="17"/>
      <c r="S11" s="17"/>
      <c r="T11" s="17"/>
      <c r="U11" s="17"/>
      <c r="V11" s="17"/>
    </row>
    <row r="12" spans="1:22" s="75" customFormat="1" ht="18.75" x14ac:dyDescent="0.2">
      <c r="D12" s="244" t="str">
        <f>'1. паспорт местоположение'!$A$12</f>
        <v>L_Che367</v>
      </c>
      <c r="E12" s="244"/>
      <c r="F12" s="244"/>
      <c r="G12" s="244"/>
      <c r="H12" s="244"/>
      <c r="I12" s="244"/>
      <c r="J12" s="17"/>
      <c r="K12" s="17"/>
      <c r="L12" s="17"/>
      <c r="M12" s="17"/>
      <c r="N12" s="17"/>
      <c r="O12" s="17"/>
      <c r="P12" s="17"/>
      <c r="Q12" s="17"/>
      <c r="R12" s="17"/>
      <c r="S12" s="17"/>
      <c r="T12" s="17"/>
      <c r="U12" s="17"/>
      <c r="V12" s="17"/>
    </row>
    <row r="13" spans="1:22" s="75" customFormat="1" ht="18.75" x14ac:dyDescent="0.2">
      <c r="D13" s="249" t="s">
        <v>3</v>
      </c>
      <c r="E13" s="249"/>
      <c r="F13" s="249"/>
      <c r="G13" s="249"/>
      <c r="H13" s="249"/>
      <c r="I13" s="249"/>
      <c r="J13" s="17"/>
      <c r="K13" s="17"/>
      <c r="L13" s="17"/>
      <c r="M13" s="17"/>
      <c r="N13" s="17"/>
      <c r="O13" s="17"/>
      <c r="P13" s="17"/>
      <c r="Q13" s="17"/>
      <c r="R13" s="17"/>
      <c r="S13" s="17"/>
      <c r="T13" s="17"/>
      <c r="U13" s="17"/>
      <c r="V13" s="17"/>
    </row>
    <row r="14" spans="1:22" s="78" customFormat="1" ht="15.75" customHeight="1" x14ac:dyDescent="0.2">
      <c r="D14" s="251"/>
      <c r="E14" s="251"/>
      <c r="F14" s="251"/>
      <c r="G14" s="251"/>
      <c r="H14" s="251"/>
      <c r="I14" s="251"/>
      <c r="J14" s="1"/>
      <c r="K14" s="1"/>
      <c r="L14" s="1"/>
      <c r="M14" s="1"/>
      <c r="N14" s="1"/>
      <c r="O14" s="1"/>
      <c r="P14" s="1"/>
      <c r="Q14" s="1"/>
      <c r="R14" s="1"/>
      <c r="S14" s="1"/>
      <c r="T14" s="1"/>
      <c r="U14" s="1"/>
      <c r="V14" s="1"/>
    </row>
    <row r="15" spans="1:22" s="25" customFormat="1" ht="100.5" customHeight="1" x14ac:dyDescent="0.25">
      <c r="C15" s="250"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D15" s="286"/>
      <c r="E15" s="286"/>
      <c r="F15" s="286"/>
      <c r="G15" s="286"/>
      <c r="H15" s="286"/>
      <c r="I15" s="286"/>
      <c r="J15" s="286"/>
      <c r="K15" s="286"/>
      <c r="L15" s="286"/>
      <c r="M15" s="286"/>
      <c r="N15" s="18"/>
      <c r="O15" s="18"/>
      <c r="P15" s="18"/>
      <c r="Q15" s="18"/>
      <c r="R15" s="18"/>
      <c r="S15" s="18"/>
      <c r="T15" s="18"/>
      <c r="U15" s="18"/>
      <c r="V15" s="18"/>
    </row>
    <row r="16" spans="1:22" s="25" customFormat="1" ht="15" customHeight="1" x14ac:dyDescent="0.2">
      <c r="D16" s="249" t="s">
        <v>2</v>
      </c>
      <c r="E16" s="249"/>
      <c r="F16" s="249"/>
      <c r="G16" s="249"/>
      <c r="H16" s="249"/>
      <c r="I16" s="249"/>
      <c r="J16" s="15"/>
      <c r="K16" s="15"/>
      <c r="L16" s="15"/>
      <c r="M16" s="15"/>
      <c r="N16" s="15"/>
      <c r="O16" s="15"/>
      <c r="P16" s="15"/>
      <c r="Q16" s="15"/>
      <c r="R16" s="15"/>
      <c r="S16" s="15"/>
      <c r="T16" s="15"/>
      <c r="U16" s="15"/>
      <c r="V16" s="15"/>
    </row>
    <row r="17" spans="1:26" s="75" customFormat="1" ht="18.75" x14ac:dyDescent="0.2">
      <c r="A17" s="79"/>
      <c r="B17" s="79"/>
      <c r="C17" s="79"/>
      <c r="D17" s="244"/>
      <c r="E17" s="244"/>
      <c r="F17" s="244"/>
      <c r="G17" s="244"/>
      <c r="H17" s="244"/>
      <c r="I17" s="244"/>
      <c r="J17" s="79"/>
      <c r="K17" s="79"/>
      <c r="L17" s="79"/>
      <c r="M17" s="79"/>
      <c r="N17" s="79"/>
      <c r="O17" s="79"/>
      <c r="P17" s="17"/>
      <c r="Q17" s="17"/>
      <c r="R17" s="17"/>
      <c r="S17" s="17"/>
      <c r="T17" s="17"/>
      <c r="U17" s="17"/>
      <c r="V17" s="17"/>
      <c r="W17" s="17"/>
      <c r="X17" s="17"/>
      <c r="Y17" s="17"/>
      <c r="Z17" s="17"/>
    </row>
    <row r="18" spans="1:26" s="25" customFormat="1" ht="91.5" customHeight="1" x14ac:dyDescent="0.2">
      <c r="A18" s="288" t="s">
        <v>373</v>
      </c>
      <c r="B18" s="288"/>
      <c r="C18" s="288"/>
      <c r="D18" s="288"/>
      <c r="E18" s="288"/>
      <c r="F18" s="288"/>
      <c r="G18" s="288"/>
      <c r="H18" s="288"/>
      <c r="I18" s="288"/>
      <c r="J18" s="288"/>
      <c r="K18" s="288"/>
      <c r="L18" s="288"/>
      <c r="M18" s="288"/>
      <c r="N18" s="288"/>
      <c r="O18" s="288"/>
      <c r="P18" s="108"/>
      <c r="Q18" s="108"/>
      <c r="R18" s="108"/>
      <c r="S18" s="108"/>
      <c r="T18" s="108"/>
      <c r="U18" s="108"/>
      <c r="V18" s="108"/>
      <c r="W18" s="108"/>
      <c r="X18" s="108"/>
      <c r="Y18" s="108"/>
      <c r="Z18" s="108"/>
    </row>
    <row r="19" spans="1:26" s="25" customFormat="1" ht="78" customHeight="1" x14ac:dyDescent="0.2">
      <c r="A19" s="254" t="s">
        <v>1</v>
      </c>
      <c r="B19" s="254" t="s">
        <v>374</v>
      </c>
      <c r="C19" s="254" t="s">
        <v>375</v>
      </c>
      <c r="D19" s="254" t="s">
        <v>376</v>
      </c>
      <c r="E19" s="283" t="s">
        <v>377</v>
      </c>
      <c r="F19" s="284"/>
      <c r="G19" s="284"/>
      <c r="H19" s="284"/>
      <c r="I19" s="285"/>
      <c r="J19" s="254" t="s">
        <v>378</v>
      </c>
      <c r="K19" s="254"/>
      <c r="L19" s="254"/>
      <c r="M19" s="254"/>
      <c r="N19" s="254"/>
      <c r="O19" s="254"/>
      <c r="P19" s="76"/>
      <c r="Q19" s="76"/>
      <c r="R19" s="76"/>
      <c r="S19" s="76"/>
      <c r="T19" s="76"/>
      <c r="U19" s="76"/>
      <c r="V19" s="76"/>
      <c r="W19" s="76"/>
    </row>
    <row r="20" spans="1:26" s="25" customFormat="1" ht="51" customHeight="1" x14ac:dyDescent="0.2">
      <c r="A20" s="254"/>
      <c r="B20" s="254"/>
      <c r="C20" s="254"/>
      <c r="D20" s="254"/>
      <c r="E20" s="109" t="s">
        <v>379</v>
      </c>
      <c r="F20" s="109" t="s">
        <v>380</v>
      </c>
      <c r="G20" s="109" t="s">
        <v>381</v>
      </c>
      <c r="H20" s="109" t="s">
        <v>382</v>
      </c>
      <c r="I20" s="109" t="s">
        <v>383</v>
      </c>
      <c r="J20" s="109" t="s">
        <v>384</v>
      </c>
      <c r="K20" s="109" t="s">
        <v>385</v>
      </c>
      <c r="L20" s="110" t="s">
        <v>386</v>
      </c>
      <c r="M20" s="111" t="s">
        <v>387</v>
      </c>
      <c r="N20" s="111" t="s">
        <v>388</v>
      </c>
      <c r="O20" s="111" t="s">
        <v>389</v>
      </c>
      <c r="P20" s="1"/>
      <c r="Q20" s="1"/>
      <c r="R20" s="1"/>
      <c r="S20" s="1"/>
      <c r="T20" s="1"/>
      <c r="U20" s="1"/>
      <c r="V20" s="1"/>
      <c r="W20" s="1"/>
      <c r="X20" s="112"/>
      <c r="Y20" s="112"/>
      <c r="Z20" s="112"/>
    </row>
    <row r="21" spans="1:26" s="25" customFormat="1" ht="16.5" customHeight="1" x14ac:dyDescent="0.2">
      <c r="A21" s="113">
        <v>1</v>
      </c>
      <c r="B21" s="114">
        <v>2</v>
      </c>
      <c r="C21" s="113">
        <v>3</v>
      </c>
      <c r="D21" s="114">
        <v>4</v>
      </c>
      <c r="E21" s="113">
        <v>5</v>
      </c>
      <c r="F21" s="114">
        <v>6</v>
      </c>
      <c r="G21" s="113">
        <v>7</v>
      </c>
      <c r="H21" s="114">
        <v>8</v>
      </c>
      <c r="I21" s="113">
        <v>9</v>
      </c>
      <c r="J21" s="114">
        <v>10</v>
      </c>
      <c r="K21" s="113">
        <v>11</v>
      </c>
      <c r="L21" s="114">
        <v>12</v>
      </c>
      <c r="M21" s="113">
        <v>13</v>
      </c>
      <c r="N21" s="114">
        <v>14</v>
      </c>
      <c r="O21" s="113">
        <v>15</v>
      </c>
      <c r="P21" s="1"/>
      <c r="Q21" s="1"/>
      <c r="R21" s="1"/>
      <c r="S21" s="1"/>
      <c r="T21" s="1"/>
      <c r="U21" s="1"/>
      <c r="V21" s="1"/>
      <c r="W21" s="1"/>
      <c r="X21" s="112"/>
      <c r="Y21" s="112"/>
      <c r="Z21" s="112"/>
    </row>
    <row r="22" spans="1:26" s="25" customFormat="1" ht="33" customHeight="1" x14ac:dyDescent="0.2">
      <c r="A22" s="115" t="s">
        <v>294</v>
      </c>
      <c r="B22" s="115" t="s">
        <v>294</v>
      </c>
      <c r="C22" s="115" t="s">
        <v>294</v>
      </c>
      <c r="D22" s="115" t="s">
        <v>294</v>
      </c>
      <c r="E22" s="115" t="s">
        <v>294</v>
      </c>
      <c r="F22" s="115" t="s">
        <v>294</v>
      </c>
      <c r="G22" s="115" t="s">
        <v>294</v>
      </c>
      <c r="H22" s="115" t="s">
        <v>294</v>
      </c>
      <c r="I22" s="115" t="s">
        <v>294</v>
      </c>
      <c r="J22" s="115" t="s">
        <v>294</v>
      </c>
      <c r="K22" s="115" t="s">
        <v>294</v>
      </c>
      <c r="L22" s="115" t="s">
        <v>294</v>
      </c>
      <c r="M22" s="115" t="s">
        <v>294</v>
      </c>
      <c r="N22" s="115" t="s">
        <v>294</v>
      </c>
      <c r="O22" s="115" t="s">
        <v>294</v>
      </c>
      <c r="P22" s="1"/>
      <c r="Q22" s="1"/>
      <c r="R22" s="1"/>
      <c r="S22" s="1"/>
      <c r="T22" s="1"/>
      <c r="U22" s="1"/>
      <c r="V22" s="112"/>
      <c r="W22" s="112"/>
      <c r="X22" s="112"/>
      <c r="Y22" s="112"/>
      <c r="Z22" s="112"/>
    </row>
    <row r="23" spans="1:26"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row>
    <row r="24" spans="1:26" x14ac:dyDescent="0.25">
      <c r="A24" s="116"/>
      <c r="B24" s="116"/>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row>
    <row r="25" spans="1:26" x14ac:dyDescent="0.2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row>
    <row r="26" spans="1:26" x14ac:dyDescent="0.25">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row>
    <row r="27" spans="1:26" x14ac:dyDescent="0.25">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row>
    <row r="28" spans="1:26" x14ac:dyDescent="0.25">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row>
    <row r="29" spans="1:26" x14ac:dyDescent="0.25">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row>
    <row r="30" spans="1:26"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row>
    <row r="31" spans="1:26"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row>
    <row r="32" spans="1:26"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row>
    <row r="33" spans="1:26"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row>
    <row r="34" spans="1:26"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row>
    <row r="35" spans="1:26"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row>
    <row r="36" spans="1:26"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row>
    <row r="37" spans="1:26"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row>
    <row r="38" spans="1:26"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row>
    <row r="39" spans="1:26"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row>
    <row r="40" spans="1:26"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row>
    <row r="41" spans="1:26"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row>
    <row r="42" spans="1:26"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row>
    <row r="43" spans="1:26"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row>
    <row r="44" spans="1:26"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row>
    <row r="45" spans="1:26"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row>
    <row r="46" spans="1:26"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row>
    <row r="47" spans="1:26"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row>
    <row r="48" spans="1:26"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row>
    <row r="49" spans="1:26"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row>
    <row r="50" spans="1:26"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row>
    <row r="51" spans="1:26"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row>
    <row r="52" spans="1:26"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row>
    <row r="53" spans="1:26"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row>
    <row r="54" spans="1:26"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row>
    <row r="55" spans="1:26"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row>
    <row r="56" spans="1:26"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row>
    <row r="57" spans="1:26"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row>
    <row r="58" spans="1:26"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row>
    <row r="59" spans="1:26"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row>
    <row r="60" spans="1:26"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row>
    <row r="61" spans="1:26"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row>
    <row r="62" spans="1:26"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row>
    <row r="63" spans="1:26"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row>
    <row r="64" spans="1:26"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row>
    <row r="65" spans="1:26"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row>
    <row r="66" spans="1:26"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row>
    <row r="67" spans="1:26"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row>
    <row r="68" spans="1:26"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row>
    <row r="69" spans="1:26"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row>
    <row r="70" spans="1:26"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row>
    <row r="71" spans="1:26"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row>
    <row r="72" spans="1:26"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row>
    <row r="73" spans="1:26"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row>
    <row r="74" spans="1:26"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row>
    <row r="75" spans="1:26"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row>
    <row r="76" spans="1:26"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row>
    <row r="77" spans="1:26"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row>
    <row r="78" spans="1:26"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row>
    <row r="79" spans="1:26"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row>
    <row r="80" spans="1:26"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row>
    <row r="81" spans="1:26"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row>
    <row r="82" spans="1:26"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row>
    <row r="83" spans="1:26"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row>
    <row r="84" spans="1:26"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row>
    <row r="85" spans="1:26"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row>
    <row r="86" spans="1:26"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row>
    <row r="87" spans="1:26"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row>
    <row r="88" spans="1:26"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row>
    <row r="89" spans="1:26"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row>
    <row r="90" spans="1:26"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row>
    <row r="91" spans="1:26"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row>
    <row r="92" spans="1:26"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row>
    <row r="93" spans="1:26"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row>
    <row r="94" spans="1:26"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row>
    <row r="95" spans="1:26"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row>
    <row r="96" spans="1:26"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row>
    <row r="97" spans="1:26"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row>
    <row r="98" spans="1:26"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row>
    <row r="99" spans="1:26"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row>
    <row r="100" spans="1:26"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row>
    <row r="101" spans="1:26"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row>
    <row r="102" spans="1:26"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row>
    <row r="103" spans="1:26"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row>
    <row r="104" spans="1:26"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row>
    <row r="105" spans="1:26"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row>
    <row r="106" spans="1:26"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row>
    <row r="107" spans="1:26"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row>
    <row r="108" spans="1:26"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row>
    <row r="109" spans="1:26"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row>
    <row r="110" spans="1:26"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row>
    <row r="111" spans="1:26"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row>
    <row r="112" spans="1:26"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row>
    <row r="113" spans="1:26"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row>
    <row r="114" spans="1:26"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row>
    <row r="115" spans="1:26"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row>
    <row r="116" spans="1:26"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row>
    <row r="117" spans="1:26"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row>
    <row r="118" spans="1:26"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row>
    <row r="119" spans="1:26"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row>
    <row r="120" spans="1:26"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row>
    <row r="121" spans="1:26"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row>
    <row r="122" spans="1:26"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row>
    <row r="123" spans="1:26"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row>
    <row r="124" spans="1:26"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row>
    <row r="125" spans="1:26"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row>
    <row r="126" spans="1:26"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row>
    <row r="127" spans="1:26"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row>
    <row r="128" spans="1:26"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row>
    <row r="129" spans="1:26"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row>
    <row r="130" spans="1:26"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row>
    <row r="131" spans="1:26"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row>
    <row r="132" spans="1:26"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row>
    <row r="133" spans="1:26"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row>
    <row r="134" spans="1:26"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row>
    <row r="135" spans="1:26"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row>
    <row r="136" spans="1:26"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row>
    <row r="137" spans="1:26"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row>
    <row r="138" spans="1:26"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row>
    <row r="139" spans="1:26"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row>
    <row r="140" spans="1:26"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row>
    <row r="141" spans="1:26"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row>
    <row r="142" spans="1:26"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row>
    <row r="143" spans="1:26"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row>
    <row r="144" spans="1:26"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row>
    <row r="145" spans="1:26"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row>
    <row r="146" spans="1:26"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row>
    <row r="147" spans="1:26"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row>
    <row r="148" spans="1:26"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row>
    <row r="149" spans="1:26"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row>
    <row r="150" spans="1:26"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row>
    <row r="151" spans="1:26"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row>
    <row r="152" spans="1:26"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row>
    <row r="153" spans="1:26"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row>
    <row r="154" spans="1:26"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row>
    <row r="155" spans="1:26"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row>
    <row r="156" spans="1:26"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row>
    <row r="157" spans="1:26"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row>
    <row r="158" spans="1:26"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row>
    <row r="159" spans="1:26"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row>
    <row r="160" spans="1:26"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row>
    <row r="161" spans="1:26"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row>
    <row r="162" spans="1:26"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row>
    <row r="163" spans="1:26"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row>
    <row r="164" spans="1:26"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row>
    <row r="165" spans="1:26"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row>
    <row r="166" spans="1:26"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row>
    <row r="167" spans="1:26"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row>
    <row r="168" spans="1:26"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row>
    <row r="169" spans="1:26"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row>
    <row r="170" spans="1:26"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row>
    <row r="171" spans="1:26"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row>
    <row r="172" spans="1:26"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row>
    <row r="173" spans="1:26"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row>
    <row r="174" spans="1:26"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row>
    <row r="175" spans="1:26"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row>
    <row r="176" spans="1:26"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row>
    <row r="177" spans="1:26"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row>
    <row r="178" spans="1:26"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row>
    <row r="179" spans="1:26"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row>
    <row r="180" spans="1:26"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row>
    <row r="181" spans="1:26"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row>
    <row r="182" spans="1:26"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row>
    <row r="183" spans="1:26"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row>
    <row r="184" spans="1:26"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row>
    <row r="185" spans="1:26"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row>
    <row r="186" spans="1:26"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row>
    <row r="187" spans="1:26"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row>
    <row r="188" spans="1:26"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row>
    <row r="189" spans="1:26"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row>
    <row r="190" spans="1:26"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row>
    <row r="191" spans="1:26"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row>
    <row r="192" spans="1:26"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row>
    <row r="193" spans="1:26"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row>
    <row r="194" spans="1:26"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row>
    <row r="195" spans="1:26"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row>
    <row r="196" spans="1:26"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row>
    <row r="197" spans="1:26"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row>
    <row r="198" spans="1:26"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row>
    <row r="199" spans="1:26"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row>
    <row r="200" spans="1:26"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row>
    <row r="201" spans="1:26"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row>
    <row r="202" spans="1:26"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row>
    <row r="203" spans="1:26"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row>
    <row r="204" spans="1:26"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row>
    <row r="205" spans="1:26"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row>
    <row r="206" spans="1:26"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row>
    <row r="207" spans="1:26"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row>
    <row r="208" spans="1:26"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row>
    <row r="209" spans="1:26"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row>
    <row r="210" spans="1:26"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row>
    <row r="211" spans="1:26"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row>
    <row r="212" spans="1:26"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row>
    <row r="213" spans="1:26"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row>
    <row r="214" spans="1:26"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row>
    <row r="215" spans="1:26"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row>
    <row r="216" spans="1:26"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row>
    <row r="217" spans="1:26"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row>
    <row r="218" spans="1:26"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row>
    <row r="219" spans="1:26"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row>
    <row r="220" spans="1:26"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row>
    <row r="221" spans="1:26"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row>
    <row r="222" spans="1:26"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row>
    <row r="223" spans="1:26"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row>
    <row r="224" spans="1:26"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row>
    <row r="225" spans="1:26"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row>
    <row r="226" spans="1:26"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row>
    <row r="227" spans="1:26"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row>
    <row r="228" spans="1:26"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row>
    <row r="229" spans="1:26"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row>
    <row r="230" spans="1:26"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row>
    <row r="231" spans="1:26"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row>
    <row r="232" spans="1:26"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row>
    <row r="233" spans="1:26"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row>
    <row r="234" spans="1:26"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row>
    <row r="235" spans="1:26"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row>
    <row r="236" spans="1:26"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row>
    <row r="237" spans="1:26"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row>
    <row r="238" spans="1:26"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row>
    <row r="239" spans="1:26"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row>
    <row r="240" spans="1:26"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row>
    <row r="241" spans="1:26"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row>
    <row r="242" spans="1:26"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row>
    <row r="243" spans="1:26"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row>
    <row r="244" spans="1:26"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row>
    <row r="245" spans="1:26"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row>
    <row r="246" spans="1:26"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row>
    <row r="247" spans="1:26"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row>
    <row r="248" spans="1:26"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row>
    <row r="249" spans="1:26"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row>
    <row r="250" spans="1:26"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row>
    <row r="251" spans="1:26"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row>
    <row r="252" spans="1:26"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row>
    <row r="253" spans="1:26"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row>
    <row r="254" spans="1:26"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row>
    <row r="255" spans="1:26"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row>
    <row r="256" spans="1:26"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row>
    <row r="257" spans="1:26"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row>
    <row r="258" spans="1:26"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row>
    <row r="259" spans="1:26"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row>
    <row r="260" spans="1:26"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row>
    <row r="261" spans="1:26"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row>
    <row r="262" spans="1:26"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row>
    <row r="263" spans="1:26"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row>
    <row r="264" spans="1:26"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row>
    <row r="265" spans="1:26"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row>
    <row r="266" spans="1:26"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row>
    <row r="267" spans="1:26"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row>
    <row r="268" spans="1:26"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row>
    <row r="269" spans="1:26"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row>
    <row r="270" spans="1:26"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row>
    <row r="271" spans="1:26"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row>
    <row r="272" spans="1:26"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row>
    <row r="273" spans="1:26"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row>
    <row r="274" spans="1:26"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row>
    <row r="275" spans="1:26"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row>
    <row r="276" spans="1:26"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row>
    <row r="277" spans="1:26"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row>
    <row r="278" spans="1:26"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row>
    <row r="279" spans="1:26"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row>
    <row r="280" spans="1:26"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row>
    <row r="281" spans="1:26"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row>
    <row r="282" spans="1:26"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row>
    <row r="283" spans="1:26"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row>
    <row r="284" spans="1:26"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row>
    <row r="285" spans="1:26"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row>
    <row r="286" spans="1:26"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row>
    <row r="287" spans="1:26"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row>
    <row r="288" spans="1:26"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row>
    <row r="289" spans="1:26"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row>
    <row r="290" spans="1:26"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row>
    <row r="291" spans="1:26"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row>
    <row r="292" spans="1:26"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row>
    <row r="293" spans="1:26"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row>
    <row r="294" spans="1:26"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row>
    <row r="295" spans="1:26"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row>
    <row r="296" spans="1:26"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row>
    <row r="297" spans="1:26"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row>
    <row r="298" spans="1:26"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row>
    <row r="299" spans="1:26"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row>
    <row r="300" spans="1:26"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row>
    <row r="301" spans="1:26"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row>
    <row r="302" spans="1:26"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row>
    <row r="303" spans="1:26"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row>
    <row r="304" spans="1:26"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row>
    <row r="305" spans="1:26"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row>
    <row r="306" spans="1:26"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row>
    <row r="307" spans="1:26"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row>
    <row r="308" spans="1:26"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row>
    <row r="309" spans="1:26"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row>
    <row r="310" spans="1:26"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row>
    <row r="311" spans="1:26"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row>
    <row r="312" spans="1:26"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row>
    <row r="313" spans="1:26"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row>
    <row r="314" spans="1:26"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row>
    <row r="315" spans="1:26"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row>
    <row r="316" spans="1:26"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row>
    <row r="317" spans="1:26"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row>
    <row r="318" spans="1:26"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row>
    <row r="319" spans="1:26"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row>
    <row r="320" spans="1:26"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row>
    <row r="321" spans="1:26"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row>
    <row r="322" spans="1:26"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row>
    <row r="323" spans="1:26"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row>
    <row r="324" spans="1:26"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row>
    <row r="325" spans="1:26"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row>
    <row r="326" spans="1:26"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row>
    <row r="327" spans="1:26"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row>
    <row r="328" spans="1:26"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row>
    <row r="329" spans="1:26"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row>
    <row r="330" spans="1:26"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row>
    <row r="331" spans="1:26"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row>
    <row r="332" spans="1:26"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row>
    <row r="333" spans="1:26"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row>
    <row r="334" spans="1:26"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row>
    <row r="335" spans="1:26"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row>
    <row r="336" spans="1:26"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row>
    <row r="337" spans="1:26"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spans="1:26"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spans="1:26"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spans="1:26"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spans="1:26"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spans="1:26"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spans="1:26"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spans="1:26"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spans="1:26"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spans="1:26"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spans="1:26"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spans="1:26"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spans="1:26"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spans="1:26"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spans="1:26"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spans="1:26"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spans="1:26"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spans="1:26"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spans="1:26"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spans="1:26"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spans="1:26"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spans="1:26"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spans="1:26"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spans="1:26"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38"/>
    <col min="2" max="2" width="28" style="38" customWidth="1"/>
    <col min="3" max="3" width="24.140625" style="38" customWidth="1"/>
    <col min="4" max="4" width="20" style="38" customWidth="1"/>
    <col min="5" max="5" width="15.85546875" style="38" customWidth="1"/>
    <col min="6" max="16384" width="9.140625" style="38"/>
  </cols>
  <sheetData>
    <row r="1" spans="1:6" ht="18.75" x14ac:dyDescent="0.25">
      <c r="A1" s="19"/>
      <c r="B1" s="75"/>
      <c r="C1" s="75"/>
      <c r="D1" s="75"/>
      <c r="E1" s="75"/>
      <c r="F1" s="16" t="s">
        <v>22</v>
      </c>
    </row>
    <row r="2" spans="1:6" ht="18.75" x14ac:dyDescent="0.3">
      <c r="A2" s="19"/>
      <c r="B2" s="75"/>
      <c r="C2" s="75"/>
      <c r="D2" s="75"/>
      <c r="E2" s="75"/>
      <c r="F2" s="14" t="s">
        <v>6</v>
      </c>
    </row>
    <row r="3" spans="1:6" ht="18.75" x14ac:dyDescent="0.3">
      <c r="A3" s="13"/>
      <c r="B3" s="75"/>
      <c r="C3" s="75"/>
      <c r="D3" s="75"/>
      <c r="E3" s="75"/>
      <c r="F3" s="14" t="s">
        <v>21</v>
      </c>
    </row>
    <row r="4" spans="1:6" ht="15.75" x14ac:dyDescent="0.25">
      <c r="A4" s="13"/>
      <c r="B4" s="75"/>
      <c r="C4" s="75"/>
      <c r="D4" s="75"/>
      <c r="E4" s="75"/>
      <c r="F4" s="75"/>
    </row>
    <row r="5" spans="1:6" ht="15.75" x14ac:dyDescent="0.25">
      <c r="A5" s="239" t="str">
        <f>'1. паспорт местоположение'!$A$5</f>
        <v>Год раскрытия информации: 2025 год</v>
      </c>
      <c r="B5" s="239"/>
      <c r="C5" s="239"/>
      <c r="D5" s="239"/>
      <c r="E5" s="239"/>
      <c r="F5" s="239"/>
    </row>
    <row r="6" spans="1:6" ht="15.75" x14ac:dyDescent="0.25">
      <c r="A6" s="20"/>
      <c r="B6" s="21"/>
      <c r="C6" s="21"/>
      <c r="D6" s="21"/>
      <c r="E6" s="21"/>
      <c r="F6" s="21"/>
    </row>
    <row r="7" spans="1:6" ht="18.75" x14ac:dyDescent="0.25">
      <c r="A7" s="243" t="s">
        <v>5</v>
      </c>
      <c r="B7" s="243"/>
      <c r="C7" s="243"/>
      <c r="D7" s="243"/>
      <c r="E7" s="243"/>
      <c r="F7" s="243"/>
    </row>
    <row r="8" spans="1:6" ht="18.75" x14ac:dyDescent="0.25">
      <c r="A8" s="80"/>
      <c r="B8" s="80"/>
      <c r="C8" s="80"/>
      <c r="D8" s="80"/>
      <c r="E8" s="80"/>
      <c r="F8" s="80"/>
    </row>
    <row r="9" spans="1:6" ht="15.75" x14ac:dyDescent="0.25">
      <c r="A9" s="244" t="s">
        <v>264</v>
      </c>
      <c r="B9" s="244"/>
      <c r="C9" s="244"/>
      <c r="D9" s="244"/>
      <c r="E9" s="244"/>
      <c r="F9" s="244"/>
    </row>
    <row r="10" spans="1:6" ht="15.75" x14ac:dyDescent="0.25">
      <c r="A10" s="249" t="s">
        <v>4</v>
      </c>
      <c r="B10" s="249"/>
      <c r="C10" s="249"/>
      <c r="D10" s="249"/>
      <c r="E10" s="249"/>
      <c r="F10" s="249"/>
    </row>
    <row r="11" spans="1:6" ht="18.75" x14ac:dyDescent="0.25">
      <c r="A11" s="80"/>
      <c r="B11" s="80"/>
      <c r="C11" s="80"/>
      <c r="D11" s="80"/>
      <c r="E11" s="80"/>
      <c r="F11" s="80"/>
    </row>
    <row r="12" spans="1:6" ht="15.75" x14ac:dyDescent="0.25">
      <c r="A12" s="244" t="str">
        <f>'1. паспорт местоположение'!$A$12</f>
        <v>L_Che367</v>
      </c>
      <c r="B12" s="244"/>
      <c r="C12" s="244"/>
      <c r="D12" s="244"/>
      <c r="E12" s="244"/>
      <c r="F12" s="244"/>
    </row>
    <row r="13" spans="1:6" ht="15.75" x14ac:dyDescent="0.25">
      <c r="A13" s="249" t="s">
        <v>3</v>
      </c>
      <c r="B13" s="249"/>
      <c r="C13" s="249"/>
      <c r="D13" s="249"/>
      <c r="E13" s="249"/>
      <c r="F13" s="249"/>
    </row>
    <row r="14" spans="1:6" ht="18.75" x14ac:dyDescent="0.25">
      <c r="A14" s="1"/>
      <c r="B14" s="1"/>
      <c r="C14" s="1"/>
      <c r="D14" s="1"/>
      <c r="E14" s="1"/>
      <c r="F14" s="1"/>
    </row>
    <row r="15" spans="1:6" ht="53.25" customHeight="1" x14ac:dyDescent="0.25">
      <c r="A15" s="250"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50"/>
      <c r="C15" s="250"/>
      <c r="D15" s="250"/>
      <c r="E15" s="250"/>
      <c r="F15" s="250"/>
    </row>
    <row r="16" spans="1:6" ht="15.75" x14ac:dyDescent="0.25">
      <c r="A16" s="249" t="s">
        <v>2</v>
      </c>
      <c r="B16" s="249"/>
      <c r="C16" s="249"/>
      <c r="D16" s="249"/>
      <c r="E16" s="249"/>
      <c r="F16" s="249"/>
    </row>
    <row r="17" spans="1:6" ht="18.75" x14ac:dyDescent="0.25">
      <c r="A17" s="76"/>
      <c r="B17" s="76"/>
      <c r="C17" s="76"/>
      <c r="D17" s="76"/>
      <c r="E17" s="76"/>
      <c r="F17" s="76"/>
    </row>
    <row r="18" spans="1:6" ht="18.75" x14ac:dyDescent="0.25">
      <c r="A18" s="261" t="s">
        <v>267</v>
      </c>
      <c r="B18" s="261"/>
      <c r="C18" s="261"/>
      <c r="D18" s="261"/>
      <c r="E18" s="261"/>
      <c r="F18" s="261"/>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3" t="s">
        <v>461</v>
      </c>
      <c r="C21" s="294"/>
      <c r="D21" s="294"/>
      <c r="E21" s="295"/>
      <c r="F21" s="22"/>
    </row>
    <row r="22" spans="1:6" ht="15.75" x14ac:dyDescent="0.25">
      <c r="A22" s="22"/>
      <c r="B22" s="290" t="s">
        <v>268</v>
      </c>
      <c r="C22" s="291"/>
      <c r="D22" s="291" t="s">
        <v>269</v>
      </c>
      <c r="E22" s="292"/>
      <c r="F22" s="22"/>
    </row>
    <row r="23" spans="1:6" ht="63" x14ac:dyDescent="0.25">
      <c r="A23" s="22"/>
      <c r="B23" s="101" t="s">
        <v>270</v>
      </c>
      <c r="C23" s="102" t="s">
        <v>271</v>
      </c>
      <c r="D23" s="102" t="s">
        <v>272</v>
      </c>
      <c r="E23" s="103" t="s">
        <v>273</v>
      </c>
      <c r="F23" s="22"/>
    </row>
    <row r="24" spans="1:6" ht="16.5" thickBot="1" x14ac:dyDescent="0.3">
      <c r="A24" s="22"/>
      <c r="B24" s="104">
        <v>369.97560310852242</v>
      </c>
      <c r="C24" s="105">
        <v>0.14015041814825269</v>
      </c>
      <c r="D24" s="106">
        <v>7.0629102959491874</v>
      </c>
      <c r="E24" s="107">
        <v>9.9994651046389702</v>
      </c>
      <c r="F24" s="22"/>
    </row>
    <row r="25" spans="1:6" x14ac:dyDescent="0.25">
      <c r="A25" s="22"/>
      <c r="B25" s="22"/>
      <c r="C25" s="22"/>
      <c r="D25" s="22"/>
      <c r="E25" s="22"/>
      <c r="F25" s="22"/>
    </row>
    <row r="26" spans="1:6" ht="15.75" x14ac:dyDescent="0.25">
      <c r="A26" s="22"/>
      <c r="B26" s="289"/>
      <c r="C26" s="289"/>
      <c r="D26" s="289"/>
      <c r="E26" s="289"/>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Normal="100" zoomScaleSheetLayoutView="70" workbookViewId="0">
      <selection activeCell="H53" sqref="H53"/>
    </sheetView>
  </sheetViews>
  <sheetFormatPr defaultColWidth="0" defaultRowHeight="15.75" x14ac:dyDescent="0.25"/>
  <cols>
    <col min="1" max="1" width="9.140625" style="44" customWidth="1"/>
    <col min="2" max="2" width="37.7109375" style="44" customWidth="1"/>
    <col min="3" max="3" width="16.28515625" style="44" customWidth="1"/>
    <col min="4" max="4" width="15.28515625" style="44" customWidth="1"/>
    <col min="5" max="6" width="15.28515625" style="44" hidden="1" customWidth="1"/>
    <col min="7" max="7" width="14.5703125" style="44" customWidth="1"/>
    <col min="8" max="8" width="15.5703125" style="44" customWidth="1"/>
    <col min="9" max="10" width="18.28515625" style="94" customWidth="1"/>
    <col min="11" max="11" width="46.140625" style="44" customWidth="1"/>
    <col min="12" max="12" width="32.28515625" style="44" customWidth="1"/>
    <col min="13" max="252" width="9.140625" style="44" customWidth="1"/>
    <col min="253" max="253" width="37.7109375" style="44" customWidth="1"/>
    <col min="254" max="254" width="9.140625" style="44" customWidth="1"/>
    <col min="255" max="255" width="12.85546875" style="44" customWidth="1"/>
    <col min="256" max="16384" width="0" style="44" hidden="1"/>
  </cols>
  <sheetData>
    <row r="1" spans="1:44" ht="18.75" x14ac:dyDescent="0.25">
      <c r="L1" s="16" t="s">
        <v>22</v>
      </c>
    </row>
    <row r="2" spans="1:44" ht="18.75" x14ac:dyDescent="0.3">
      <c r="L2" s="14" t="s">
        <v>6</v>
      </c>
    </row>
    <row r="3" spans="1:44" ht="18.75" x14ac:dyDescent="0.3">
      <c r="L3" s="14" t="s">
        <v>21</v>
      </c>
    </row>
    <row r="4" spans="1:44" ht="18.75" x14ac:dyDescent="0.3">
      <c r="K4" s="14"/>
    </row>
    <row r="5" spans="1:44" x14ac:dyDescent="0.25">
      <c r="A5" s="239" t="str">
        <f>'1. паспорт местоположение'!$A$5</f>
        <v>Год раскрытия информации: 2025 год</v>
      </c>
      <c r="B5" s="239"/>
      <c r="C5" s="239"/>
      <c r="D5" s="239"/>
      <c r="E5" s="239"/>
      <c r="F5" s="239"/>
      <c r="G5" s="239"/>
      <c r="H5" s="239"/>
      <c r="I5" s="239"/>
      <c r="J5" s="239"/>
      <c r="K5" s="239"/>
      <c r="L5" s="239"/>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row>
    <row r="6" spans="1:44" ht="18.75" x14ac:dyDescent="0.3">
      <c r="K6" s="14"/>
    </row>
    <row r="7" spans="1:44" ht="18.75" x14ac:dyDescent="0.25">
      <c r="A7" s="243" t="s">
        <v>5</v>
      </c>
      <c r="B7" s="243"/>
      <c r="C7" s="243"/>
      <c r="D7" s="243"/>
      <c r="E7" s="243"/>
      <c r="F7" s="243"/>
      <c r="G7" s="243"/>
      <c r="H7" s="243"/>
      <c r="I7" s="243"/>
      <c r="J7" s="243"/>
      <c r="K7" s="243"/>
      <c r="L7" s="243"/>
    </row>
    <row r="8" spans="1:44" ht="18.75" x14ac:dyDescent="0.25">
      <c r="A8" s="243"/>
      <c r="B8" s="243"/>
      <c r="C8" s="243"/>
      <c r="D8" s="243"/>
      <c r="E8" s="243"/>
      <c r="F8" s="243"/>
      <c r="G8" s="243"/>
      <c r="H8" s="243"/>
      <c r="I8" s="243"/>
      <c r="J8" s="243"/>
      <c r="K8" s="243"/>
      <c r="L8" s="243"/>
    </row>
    <row r="9" spans="1:44" x14ac:dyDescent="0.25">
      <c r="A9" s="244" t="s">
        <v>264</v>
      </c>
      <c r="B9" s="244"/>
      <c r="C9" s="244"/>
      <c r="D9" s="244"/>
      <c r="E9" s="244"/>
      <c r="F9" s="244"/>
      <c r="G9" s="244"/>
      <c r="H9" s="244"/>
      <c r="I9" s="244"/>
      <c r="J9" s="244"/>
      <c r="K9" s="244"/>
      <c r="L9" s="244"/>
    </row>
    <row r="10" spans="1:44" x14ac:dyDescent="0.25">
      <c r="A10" s="249" t="s">
        <v>4</v>
      </c>
      <c r="B10" s="249"/>
      <c r="C10" s="249"/>
      <c r="D10" s="249"/>
      <c r="E10" s="249"/>
      <c r="F10" s="249"/>
      <c r="G10" s="249"/>
      <c r="H10" s="249"/>
      <c r="I10" s="249"/>
      <c r="J10" s="249"/>
      <c r="K10" s="249"/>
      <c r="L10" s="249"/>
    </row>
    <row r="11" spans="1:44" ht="18.75" x14ac:dyDescent="0.25">
      <c r="A11" s="243"/>
      <c r="B11" s="243"/>
      <c r="C11" s="243"/>
      <c r="D11" s="243"/>
      <c r="E11" s="243"/>
      <c r="F11" s="243"/>
      <c r="G11" s="243"/>
      <c r="H11" s="243"/>
      <c r="I11" s="243"/>
      <c r="J11" s="243"/>
      <c r="K11" s="243"/>
      <c r="L11" s="243"/>
    </row>
    <row r="12" spans="1:44" x14ac:dyDescent="0.25">
      <c r="A12" s="244" t="str">
        <f>'1. паспорт местоположение'!$A$12</f>
        <v>L_Che367</v>
      </c>
      <c r="B12" s="244"/>
      <c r="C12" s="244"/>
      <c r="D12" s="244"/>
      <c r="E12" s="244"/>
      <c r="F12" s="244"/>
      <c r="G12" s="244"/>
      <c r="H12" s="244"/>
      <c r="I12" s="244"/>
      <c r="J12" s="244"/>
      <c r="K12" s="244"/>
      <c r="L12" s="244"/>
    </row>
    <row r="13" spans="1:44" x14ac:dyDescent="0.25">
      <c r="A13" s="249" t="s">
        <v>3</v>
      </c>
      <c r="B13" s="249"/>
      <c r="C13" s="249"/>
      <c r="D13" s="249"/>
      <c r="E13" s="249"/>
      <c r="F13" s="249"/>
      <c r="G13" s="249"/>
      <c r="H13" s="249"/>
      <c r="I13" s="249"/>
      <c r="J13" s="249"/>
      <c r="K13" s="249"/>
      <c r="L13" s="249"/>
    </row>
    <row r="14" spans="1:44" ht="18.75" x14ac:dyDescent="0.25">
      <c r="A14" s="251"/>
      <c r="B14" s="251"/>
      <c r="C14" s="251"/>
      <c r="D14" s="251"/>
      <c r="E14" s="251"/>
      <c r="F14" s="251"/>
      <c r="G14" s="251"/>
      <c r="H14" s="251"/>
      <c r="I14" s="251"/>
      <c r="J14" s="251"/>
      <c r="K14" s="251"/>
      <c r="L14" s="251"/>
    </row>
    <row r="15" spans="1:44" ht="66.75" customHeight="1" x14ac:dyDescent="0.25">
      <c r="A15" s="250" t="str">
        <f>'1. паспорт местоположение'!$A$15</f>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50"/>
      <c r="C15" s="250"/>
      <c r="D15" s="250"/>
      <c r="E15" s="250"/>
      <c r="F15" s="250"/>
      <c r="G15" s="250"/>
      <c r="H15" s="250"/>
      <c r="I15" s="250"/>
      <c r="J15" s="250"/>
      <c r="K15" s="250"/>
      <c r="L15" s="250"/>
    </row>
    <row r="16" spans="1:44" x14ac:dyDescent="0.25">
      <c r="A16" s="249" t="s">
        <v>2</v>
      </c>
      <c r="B16" s="249"/>
      <c r="C16" s="249"/>
      <c r="D16" s="249"/>
      <c r="E16" s="249"/>
      <c r="F16" s="249"/>
      <c r="G16" s="249"/>
      <c r="H16" s="249"/>
      <c r="I16" s="249"/>
      <c r="J16" s="249"/>
      <c r="K16" s="249"/>
      <c r="L16" s="249"/>
    </row>
    <row r="17" spans="1:12" ht="15.75" customHeight="1" x14ac:dyDescent="0.25">
      <c r="L17" s="95"/>
    </row>
    <row r="18" spans="1:12" x14ac:dyDescent="0.25">
      <c r="K18" s="84"/>
    </row>
    <row r="19" spans="1:12" ht="15.75" customHeight="1" x14ac:dyDescent="0.25">
      <c r="A19" s="304" t="s">
        <v>245</v>
      </c>
      <c r="B19" s="304"/>
      <c r="C19" s="304"/>
      <c r="D19" s="304"/>
      <c r="E19" s="304"/>
      <c r="F19" s="304"/>
      <c r="G19" s="304"/>
      <c r="H19" s="304"/>
      <c r="I19" s="304"/>
      <c r="J19" s="304"/>
      <c r="K19" s="304"/>
      <c r="L19" s="304"/>
    </row>
    <row r="20" spans="1:12" x14ac:dyDescent="0.25">
      <c r="A20" s="82"/>
      <c r="B20" s="82"/>
      <c r="C20" s="58"/>
      <c r="D20" s="58"/>
      <c r="E20" s="58"/>
      <c r="F20" s="58"/>
      <c r="G20" s="58"/>
      <c r="H20" s="58"/>
      <c r="I20" s="96"/>
      <c r="J20" s="96"/>
      <c r="K20" s="58"/>
      <c r="L20" s="58"/>
    </row>
    <row r="21" spans="1:12" ht="28.5" customHeight="1" x14ac:dyDescent="0.25">
      <c r="A21" s="296" t="s">
        <v>134</v>
      </c>
      <c r="B21" s="296" t="s">
        <v>133</v>
      </c>
      <c r="C21" s="305" t="s">
        <v>194</v>
      </c>
      <c r="D21" s="305"/>
      <c r="E21" s="305"/>
      <c r="F21" s="305"/>
      <c r="G21" s="305"/>
      <c r="H21" s="305"/>
      <c r="I21" s="302" t="s">
        <v>132</v>
      </c>
      <c r="J21" s="299" t="s">
        <v>196</v>
      </c>
      <c r="K21" s="296" t="s">
        <v>131</v>
      </c>
      <c r="L21" s="306" t="s">
        <v>195</v>
      </c>
    </row>
    <row r="22" spans="1:12" ht="58.5" customHeight="1" x14ac:dyDescent="0.25">
      <c r="A22" s="296"/>
      <c r="B22" s="296"/>
      <c r="C22" s="303" t="s">
        <v>0</v>
      </c>
      <c r="D22" s="303"/>
      <c r="E22" s="197"/>
      <c r="F22" s="197"/>
      <c r="G22" s="297" t="s">
        <v>425</v>
      </c>
      <c r="H22" s="298"/>
      <c r="I22" s="302"/>
      <c r="J22" s="300"/>
      <c r="K22" s="296"/>
      <c r="L22" s="306"/>
    </row>
    <row r="23" spans="1:12" ht="31.5" x14ac:dyDescent="0.25">
      <c r="A23" s="296"/>
      <c r="B23" s="296"/>
      <c r="C23" s="97" t="s">
        <v>130</v>
      </c>
      <c r="D23" s="97" t="s">
        <v>129</v>
      </c>
      <c r="E23" s="97"/>
      <c r="F23" s="97"/>
      <c r="G23" s="97" t="s">
        <v>130</v>
      </c>
      <c r="H23" s="97" t="s">
        <v>129</v>
      </c>
      <c r="I23" s="302"/>
      <c r="J23" s="301"/>
      <c r="K23" s="296"/>
      <c r="L23" s="306"/>
    </row>
    <row r="24" spans="1:12" x14ac:dyDescent="0.25">
      <c r="A24" s="63">
        <v>1</v>
      </c>
      <c r="B24" s="63">
        <v>2</v>
      </c>
      <c r="C24" s="97">
        <v>3</v>
      </c>
      <c r="D24" s="97">
        <v>4</v>
      </c>
      <c r="E24" s="97"/>
      <c r="F24" s="97"/>
      <c r="G24" s="97">
        <v>7</v>
      </c>
      <c r="H24" s="97">
        <v>8</v>
      </c>
      <c r="I24" s="98">
        <v>9</v>
      </c>
      <c r="J24" s="98">
        <v>10</v>
      </c>
      <c r="K24" s="97">
        <v>11</v>
      </c>
      <c r="L24" s="97">
        <v>12</v>
      </c>
    </row>
    <row r="25" spans="1:12" ht="31.5" x14ac:dyDescent="0.25">
      <c r="A25" s="200">
        <v>1</v>
      </c>
      <c r="B25" s="201" t="s">
        <v>128</v>
      </c>
      <c r="C25" s="227"/>
      <c r="D25" s="227"/>
      <c r="E25" s="227"/>
      <c r="F25" s="227"/>
      <c r="G25" s="227"/>
      <c r="H25" s="227"/>
      <c r="I25" s="228"/>
      <c r="J25" s="228"/>
      <c r="K25" s="99"/>
      <c r="L25" s="41"/>
    </row>
    <row r="26" spans="1:12" ht="21.75" customHeight="1" x14ac:dyDescent="0.25">
      <c r="A26" s="200" t="s">
        <v>127</v>
      </c>
      <c r="B26" s="202" t="s">
        <v>198</v>
      </c>
      <c r="C26" s="229" t="s">
        <v>265</v>
      </c>
      <c r="D26" s="229" t="s">
        <v>265</v>
      </c>
      <c r="E26" s="229"/>
      <c r="F26" s="229"/>
      <c r="G26" s="229" t="s">
        <v>265</v>
      </c>
      <c r="H26" s="229" t="s">
        <v>265</v>
      </c>
      <c r="I26" s="230" t="s">
        <v>294</v>
      </c>
      <c r="J26" s="230" t="s">
        <v>294</v>
      </c>
      <c r="K26" s="99"/>
      <c r="L26" s="99"/>
    </row>
    <row r="27" spans="1:12" s="56" customFormat="1" ht="39" customHeight="1" x14ac:dyDescent="0.25">
      <c r="A27" s="200" t="s">
        <v>126</v>
      </c>
      <c r="B27" s="202" t="s">
        <v>200</v>
      </c>
      <c r="C27" s="229" t="s">
        <v>265</v>
      </c>
      <c r="D27" s="229" t="s">
        <v>265</v>
      </c>
      <c r="E27" s="229"/>
      <c r="F27" s="229"/>
      <c r="G27" s="229" t="s">
        <v>265</v>
      </c>
      <c r="H27" s="229" t="s">
        <v>265</v>
      </c>
      <c r="I27" s="230" t="s">
        <v>294</v>
      </c>
      <c r="J27" s="230" t="s">
        <v>294</v>
      </c>
      <c r="K27" s="99"/>
      <c r="L27" s="99"/>
    </row>
    <row r="28" spans="1:12" s="56" customFormat="1" ht="56.25" customHeight="1" x14ac:dyDescent="0.25">
      <c r="A28" s="200" t="s">
        <v>199</v>
      </c>
      <c r="B28" s="202" t="s">
        <v>204</v>
      </c>
      <c r="C28" s="229" t="s">
        <v>265</v>
      </c>
      <c r="D28" s="229" t="s">
        <v>265</v>
      </c>
      <c r="E28" s="229"/>
      <c r="F28" s="229"/>
      <c r="G28" s="229" t="s">
        <v>265</v>
      </c>
      <c r="H28" s="229" t="s">
        <v>265</v>
      </c>
      <c r="I28" s="230" t="s">
        <v>294</v>
      </c>
      <c r="J28" s="230" t="s">
        <v>294</v>
      </c>
      <c r="K28" s="99"/>
      <c r="L28" s="99"/>
    </row>
    <row r="29" spans="1:12" s="56" customFormat="1" ht="32.25" customHeight="1" x14ac:dyDescent="0.25">
      <c r="A29" s="200" t="s">
        <v>125</v>
      </c>
      <c r="B29" s="202" t="s">
        <v>203</v>
      </c>
      <c r="C29" s="229" t="s">
        <v>265</v>
      </c>
      <c r="D29" s="229" t="s">
        <v>265</v>
      </c>
      <c r="E29" s="229"/>
      <c r="F29" s="229"/>
      <c r="G29" s="229" t="s">
        <v>265</v>
      </c>
      <c r="H29" s="229" t="s">
        <v>265</v>
      </c>
      <c r="I29" s="230" t="s">
        <v>294</v>
      </c>
      <c r="J29" s="230" t="s">
        <v>294</v>
      </c>
      <c r="K29" s="99"/>
      <c r="L29" s="99"/>
    </row>
    <row r="30" spans="1:12" s="56" customFormat="1" ht="42" customHeight="1" x14ac:dyDescent="0.25">
      <c r="A30" s="200" t="s">
        <v>124</v>
      </c>
      <c r="B30" s="202" t="s">
        <v>205</v>
      </c>
      <c r="C30" s="229" t="s">
        <v>265</v>
      </c>
      <c r="D30" s="229" t="s">
        <v>265</v>
      </c>
      <c r="E30" s="229"/>
      <c r="F30" s="229"/>
      <c r="G30" s="229" t="s">
        <v>265</v>
      </c>
      <c r="H30" s="229" t="s">
        <v>265</v>
      </c>
      <c r="I30" s="230" t="s">
        <v>294</v>
      </c>
      <c r="J30" s="230" t="s">
        <v>294</v>
      </c>
      <c r="K30" s="99"/>
      <c r="L30" s="99"/>
    </row>
    <row r="31" spans="1:12" s="56" customFormat="1" ht="37.5" customHeight="1" x14ac:dyDescent="0.25">
      <c r="A31" s="200" t="s">
        <v>123</v>
      </c>
      <c r="B31" s="203" t="s">
        <v>201</v>
      </c>
      <c r="C31" s="231">
        <v>43329</v>
      </c>
      <c r="D31" s="231">
        <v>43329</v>
      </c>
      <c r="E31" s="231"/>
      <c r="F31" s="231"/>
      <c r="G31" s="231">
        <v>43329</v>
      </c>
      <c r="H31" s="231">
        <v>43329</v>
      </c>
      <c r="I31" s="228">
        <v>1</v>
      </c>
      <c r="J31" s="230" t="s">
        <v>294</v>
      </c>
      <c r="K31" s="99"/>
      <c r="L31" s="99"/>
    </row>
    <row r="32" spans="1:12" s="56" customFormat="1" ht="31.5" x14ac:dyDescent="0.25">
      <c r="A32" s="200" t="s">
        <v>121</v>
      </c>
      <c r="B32" s="203" t="s">
        <v>206</v>
      </c>
      <c r="C32" s="231">
        <v>43584</v>
      </c>
      <c r="D32" s="231">
        <v>43584</v>
      </c>
      <c r="E32" s="231"/>
      <c r="F32" s="231"/>
      <c r="G32" s="231">
        <v>43584</v>
      </c>
      <c r="H32" s="231">
        <v>43584</v>
      </c>
      <c r="I32" s="228">
        <v>1</v>
      </c>
      <c r="J32" s="230" t="s">
        <v>294</v>
      </c>
      <c r="K32" s="99"/>
      <c r="L32" s="99"/>
    </row>
    <row r="33" spans="1:12" s="56" customFormat="1" ht="37.5" customHeight="1" x14ac:dyDescent="0.25">
      <c r="A33" s="200" t="s">
        <v>217</v>
      </c>
      <c r="B33" s="203" t="s">
        <v>147</v>
      </c>
      <c r="C33" s="231">
        <v>43803</v>
      </c>
      <c r="D33" s="231">
        <v>43803</v>
      </c>
      <c r="E33" s="231"/>
      <c r="F33" s="231"/>
      <c r="G33" s="231">
        <v>43803</v>
      </c>
      <c r="H33" s="231">
        <v>43803</v>
      </c>
      <c r="I33" s="228">
        <v>1</v>
      </c>
      <c r="J33" s="230" t="s">
        <v>294</v>
      </c>
      <c r="K33" s="99"/>
      <c r="L33" s="99"/>
    </row>
    <row r="34" spans="1:12" s="56" customFormat="1" ht="47.25" customHeight="1" x14ac:dyDescent="0.25">
      <c r="A34" s="200" t="s">
        <v>218</v>
      </c>
      <c r="B34" s="203" t="s">
        <v>210</v>
      </c>
      <c r="C34" s="229" t="s">
        <v>265</v>
      </c>
      <c r="D34" s="229" t="s">
        <v>265</v>
      </c>
      <c r="E34" s="229"/>
      <c r="F34" s="229"/>
      <c r="G34" s="229" t="s">
        <v>265</v>
      </c>
      <c r="H34" s="229" t="s">
        <v>265</v>
      </c>
      <c r="I34" s="230" t="s">
        <v>294</v>
      </c>
      <c r="J34" s="230" t="s">
        <v>294</v>
      </c>
      <c r="K34" s="100"/>
      <c r="L34" s="99"/>
    </row>
    <row r="35" spans="1:12" s="56" customFormat="1" ht="30" customHeight="1" x14ac:dyDescent="0.25">
      <c r="A35" s="200" t="s">
        <v>219</v>
      </c>
      <c r="B35" s="203" t="s">
        <v>122</v>
      </c>
      <c r="C35" s="231">
        <v>43914</v>
      </c>
      <c r="D35" s="231">
        <v>43914</v>
      </c>
      <c r="E35" s="231"/>
      <c r="F35" s="231"/>
      <c r="G35" s="231">
        <v>43914</v>
      </c>
      <c r="H35" s="231">
        <v>43914</v>
      </c>
      <c r="I35" s="228">
        <v>1</v>
      </c>
      <c r="J35" s="230" t="s">
        <v>294</v>
      </c>
      <c r="K35" s="100"/>
      <c r="L35" s="99"/>
    </row>
    <row r="36" spans="1:12" ht="37.5" customHeight="1" x14ac:dyDescent="0.25">
      <c r="A36" s="200" t="s">
        <v>220</v>
      </c>
      <c r="B36" s="203" t="s">
        <v>202</v>
      </c>
      <c r="C36" s="229" t="s">
        <v>265</v>
      </c>
      <c r="D36" s="229" t="s">
        <v>265</v>
      </c>
      <c r="E36" s="229"/>
      <c r="F36" s="229"/>
      <c r="G36" s="229" t="s">
        <v>265</v>
      </c>
      <c r="H36" s="229" t="s">
        <v>265</v>
      </c>
      <c r="I36" s="228"/>
      <c r="J36" s="230" t="s">
        <v>294</v>
      </c>
      <c r="K36" s="99"/>
      <c r="L36" s="99"/>
    </row>
    <row r="37" spans="1:12" ht="20.25" customHeight="1" x14ac:dyDescent="0.25">
      <c r="A37" s="200" t="s">
        <v>221</v>
      </c>
      <c r="B37" s="203" t="s">
        <v>120</v>
      </c>
      <c r="C37" s="231">
        <v>43329</v>
      </c>
      <c r="D37" s="231">
        <v>43584</v>
      </c>
      <c r="E37" s="231"/>
      <c r="F37" s="231"/>
      <c r="G37" s="231">
        <v>43329</v>
      </c>
      <c r="H37" s="231">
        <v>43584</v>
      </c>
      <c r="I37" s="228">
        <v>1</v>
      </c>
      <c r="J37" s="230" t="s">
        <v>294</v>
      </c>
      <c r="K37" s="99"/>
      <c r="L37" s="99"/>
    </row>
    <row r="38" spans="1:12" x14ac:dyDescent="0.25">
      <c r="A38" s="200" t="s">
        <v>222</v>
      </c>
      <c r="B38" s="201" t="s">
        <v>119</v>
      </c>
      <c r="C38" s="232"/>
      <c r="D38" s="233"/>
      <c r="E38" s="233"/>
      <c r="F38" s="233"/>
      <c r="G38" s="232"/>
      <c r="H38" s="233"/>
      <c r="I38" s="234"/>
      <c r="J38" s="230"/>
      <c r="K38" s="99"/>
      <c r="L38" s="99"/>
    </row>
    <row r="39" spans="1:12" ht="53.25" customHeight="1" x14ac:dyDescent="0.25">
      <c r="A39" s="200">
        <v>2</v>
      </c>
      <c r="B39" s="203" t="s">
        <v>207</v>
      </c>
      <c r="C39" s="232">
        <v>44110</v>
      </c>
      <c r="D39" s="232">
        <v>44110</v>
      </c>
      <c r="E39" s="232"/>
      <c r="F39" s="232"/>
      <c r="G39" s="232">
        <v>44110</v>
      </c>
      <c r="H39" s="232">
        <v>44110</v>
      </c>
      <c r="I39" s="228">
        <v>1</v>
      </c>
      <c r="J39" s="230" t="s">
        <v>294</v>
      </c>
      <c r="K39" s="99"/>
      <c r="L39" s="99"/>
    </row>
    <row r="40" spans="1:12" ht="33.75" customHeight="1" x14ac:dyDescent="0.25">
      <c r="A40" s="200" t="s">
        <v>118</v>
      </c>
      <c r="B40" s="203" t="s">
        <v>209</v>
      </c>
      <c r="C40" s="229" t="s">
        <v>294</v>
      </c>
      <c r="D40" s="229" t="s">
        <v>294</v>
      </c>
      <c r="E40" s="229"/>
      <c r="F40" s="229"/>
      <c r="G40" s="229" t="s">
        <v>294</v>
      </c>
      <c r="H40" s="229" t="s">
        <v>294</v>
      </c>
      <c r="I40" s="229" t="s">
        <v>294</v>
      </c>
      <c r="J40" s="229" t="s">
        <v>294</v>
      </c>
      <c r="K40" s="99"/>
      <c r="L40" s="99"/>
    </row>
    <row r="41" spans="1:12" ht="48.75" customHeight="1" x14ac:dyDescent="0.25">
      <c r="A41" s="200" t="s">
        <v>626</v>
      </c>
      <c r="B41" s="201" t="s">
        <v>263</v>
      </c>
      <c r="C41" s="235"/>
      <c r="D41" s="236"/>
      <c r="E41" s="236"/>
      <c r="F41" s="236"/>
      <c r="G41" s="235"/>
      <c r="H41" s="236"/>
      <c r="I41" s="234"/>
      <c r="J41" s="230"/>
      <c r="K41" s="99"/>
      <c r="L41" s="99"/>
    </row>
    <row r="42" spans="1:12" ht="35.25" customHeight="1" x14ac:dyDescent="0.25">
      <c r="A42" s="200">
        <v>3</v>
      </c>
      <c r="B42" s="203" t="s">
        <v>208</v>
      </c>
      <c r="C42" s="235">
        <v>44237</v>
      </c>
      <c r="D42" s="236">
        <v>44560</v>
      </c>
      <c r="E42" s="236"/>
      <c r="F42" s="236"/>
      <c r="G42" s="237">
        <v>44237</v>
      </c>
      <c r="H42" s="237">
        <v>44560</v>
      </c>
      <c r="I42" s="228">
        <v>1</v>
      </c>
      <c r="J42" s="230" t="s">
        <v>294</v>
      </c>
      <c r="K42" s="99"/>
      <c r="L42" s="99"/>
    </row>
    <row r="43" spans="1:12" ht="29.25" customHeight="1" x14ac:dyDescent="0.25">
      <c r="A43" s="200" t="s">
        <v>117</v>
      </c>
      <c r="B43" s="203" t="s">
        <v>115</v>
      </c>
      <c r="C43" s="235">
        <v>44532</v>
      </c>
      <c r="D43" s="236">
        <v>45168</v>
      </c>
      <c r="E43" s="236"/>
      <c r="F43" s="236"/>
      <c r="G43" s="237">
        <v>44331</v>
      </c>
      <c r="H43" s="237">
        <v>44505</v>
      </c>
      <c r="I43" s="228">
        <v>1</v>
      </c>
      <c r="J43" s="230" t="s">
        <v>294</v>
      </c>
      <c r="K43" s="99"/>
      <c r="L43" s="99"/>
    </row>
    <row r="44" spans="1:12" ht="24.75" customHeight="1" x14ac:dyDescent="0.25">
      <c r="A44" s="200" t="s">
        <v>116</v>
      </c>
      <c r="B44" s="203" t="s">
        <v>113</v>
      </c>
      <c r="C44" s="235">
        <v>44617</v>
      </c>
      <c r="D44" s="236">
        <v>45177</v>
      </c>
      <c r="E44" s="236"/>
      <c r="F44" s="236"/>
      <c r="G44" s="237">
        <v>44341</v>
      </c>
      <c r="H44" s="237">
        <v>45289</v>
      </c>
      <c r="I44" s="228">
        <v>1</v>
      </c>
      <c r="J44" s="230" t="s">
        <v>294</v>
      </c>
      <c r="K44" s="99"/>
      <c r="L44" s="99"/>
    </row>
    <row r="45" spans="1:12" ht="90.75" customHeight="1" x14ac:dyDescent="0.25">
      <c r="A45" s="200" t="s">
        <v>114</v>
      </c>
      <c r="B45" s="203" t="s">
        <v>213</v>
      </c>
      <c r="C45" s="235" t="s">
        <v>265</v>
      </c>
      <c r="D45" s="236" t="s">
        <v>265</v>
      </c>
      <c r="E45" s="236"/>
      <c r="F45" s="236"/>
      <c r="G45" s="231">
        <v>45377</v>
      </c>
      <c r="H45" s="231">
        <v>45377</v>
      </c>
      <c r="I45" s="228">
        <v>1</v>
      </c>
      <c r="J45" s="230" t="s">
        <v>294</v>
      </c>
      <c r="K45" s="99"/>
      <c r="L45" s="99"/>
    </row>
    <row r="46" spans="1:12" ht="167.25" customHeight="1" x14ac:dyDescent="0.25">
      <c r="A46" s="200" t="s">
        <v>112</v>
      </c>
      <c r="B46" s="203" t="s">
        <v>211</v>
      </c>
      <c r="C46" s="235" t="s">
        <v>265</v>
      </c>
      <c r="D46" s="236" t="s">
        <v>265</v>
      </c>
      <c r="E46" s="236"/>
      <c r="F46" s="236"/>
      <c r="G46" s="236" t="s">
        <v>265</v>
      </c>
      <c r="H46" s="236" t="s">
        <v>265</v>
      </c>
      <c r="I46" s="236" t="s">
        <v>265</v>
      </c>
      <c r="J46" s="230" t="s">
        <v>294</v>
      </c>
      <c r="K46" s="99"/>
      <c r="L46" s="99"/>
    </row>
    <row r="47" spans="1:12" ht="30.75" customHeight="1" x14ac:dyDescent="0.25">
      <c r="A47" s="200" t="s">
        <v>110</v>
      </c>
      <c r="B47" s="203" t="s">
        <v>111</v>
      </c>
      <c r="C47" s="232">
        <v>45382</v>
      </c>
      <c r="D47" s="232">
        <v>45382</v>
      </c>
      <c r="E47" s="233"/>
      <c r="F47" s="233"/>
      <c r="G47" s="231">
        <v>45395</v>
      </c>
      <c r="H47" s="231">
        <v>45398</v>
      </c>
      <c r="I47" s="228">
        <v>1</v>
      </c>
      <c r="J47" s="228" t="s">
        <v>294</v>
      </c>
      <c r="K47" s="99"/>
      <c r="L47" s="99"/>
    </row>
    <row r="48" spans="1:12" ht="37.5" customHeight="1" x14ac:dyDescent="0.25">
      <c r="A48" s="200" t="s">
        <v>627</v>
      </c>
      <c r="B48" s="201" t="s">
        <v>109</v>
      </c>
      <c r="C48" s="232"/>
      <c r="D48" s="233"/>
      <c r="E48" s="233"/>
      <c r="F48" s="233"/>
      <c r="G48" s="238" t="s">
        <v>294</v>
      </c>
      <c r="H48" s="238" t="s">
        <v>294</v>
      </c>
      <c r="I48" s="228"/>
      <c r="J48" s="228"/>
      <c r="K48" s="99"/>
      <c r="L48" s="99"/>
    </row>
    <row r="49" spans="1:12" ht="35.25" customHeight="1" x14ac:dyDescent="0.25">
      <c r="A49" s="200">
        <v>4</v>
      </c>
      <c r="B49" s="203" t="s">
        <v>107</v>
      </c>
      <c r="C49" s="232">
        <v>45402</v>
      </c>
      <c r="D49" s="232">
        <v>45402</v>
      </c>
      <c r="E49" s="232"/>
      <c r="F49" s="232"/>
      <c r="G49" s="238" t="s">
        <v>673</v>
      </c>
      <c r="H49" s="238" t="s">
        <v>674</v>
      </c>
      <c r="I49" s="228">
        <v>1</v>
      </c>
      <c r="J49" s="228" t="s">
        <v>294</v>
      </c>
      <c r="K49" s="99"/>
      <c r="L49" s="99"/>
    </row>
    <row r="50" spans="1:12" ht="86.25" customHeight="1" x14ac:dyDescent="0.25">
      <c r="A50" s="200" t="s">
        <v>108</v>
      </c>
      <c r="B50" s="203" t="s">
        <v>212</v>
      </c>
      <c r="C50" s="232">
        <v>45408</v>
      </c>
      <c r="D50" s="232">
        <v>45408</v>
      </c>
      <c r="E50" s="232"/>
      <c r="F50" s="232"/>
      <c r="G50" s="238" t="s">
        <v>675</v>
      </c>
      <c r="H50" s="238" t="s">
        <v>675</v>
      </c>
      <c r="I50" s="228">
        <v>1</v>
      </c>
      <c r="J50" s="228" t="s">
        <v>294</v>
      </c>
      <c r="K50" s="99"/>
      <c r="L50" s="99"/>
    </row>
    <row r="51" spans="1:12" ht="77.25" customHeight="1" x14ac:dyDescent="0.25">
      <c r="A51" s="200" t="s">
        <v>106</v>
      </c>
      <c r="B51" s="203" t="s">
        <v>214</v>
      </c>
      <c r="C51" s="233">
        <v>45397</v>
      </c>
      <c r="D51" s="233">
        <v>45397</v>
      </c>
      <c r="E51" s="229"/>
      <c r="F51" s="229"/>
      <c r="G51" s="238" t="s">
        <v>675</v>
      </c>
      <c r="H51" s="238" t="s">
        <v>675</v>
      </c>
      <c r="I51" s="228">
        <v>1</v>
      </c>
      <c r="J51" s="228" t="s">
        <v>294</v>
      </c>
      <c r="K51" s="99"/>
      <c r="L51" s="99"/>
    </row>
    <row r="52" spans="1:12" ht="71.25" customHeight="1" x14ac:dyDescent="0.25">
      <c r="A52" s="200" t="s">
        <v>104</v>
      </c>
      <c r="B52" s="203" t="s">
        <v>105</v>
      </c>
      <c r="C52" s="232" t="s">
        <v>265</v>
      </c>
      <c r="D52" s="233" t="s">
        <v>265</v>
      </c>
      <c r="E52" s="233" t="s">
        <v>265</v>
      </c>
      <c r="F52" s="233" t="s">
        <v>265</v>
      </c>
      <c r="G52" s="233" t="s">
        <v>265</v>
      </c>
      <c r="H52" s="233" t="s">
        <v>265</v>
      </c>
      <c r="I52" s="228" t="s">
        <v>294</v>
      </c>
      <c r="J52" s="228" t="s">
        <v>294</v>
      </c>
      <c r="K52" s="99"/>
      <c r="L52" s="99"/>
    </row>
    <row r="53" spans="1:12" ht="36" customHeight="1" x14ac:dyDescent="0.25">
      <c r="A53" s="200" t="s">
        <v>102</v>
      </c>
      <c r="B53" s="204" t="s">
        <v>215</v>
      </c>
      <c r="C53" s="232">
        <v>45408</v>
      </c>
      <c r="D53" s="232">
        <v>45408</v>
      </c>
      <c r="E53" s="232"/>
      <c r="F53" s="232"/>
      <c r="G53" s="238" t="s">
        <v>676</v>
      </c>
      <c r="H53" s="238" t="s">
        <v>676</v>
      </c>
      <c r="I53" s="228">
        <v>1</v>
      </c>
      <c r="J53" s="228">
        <v>1</v>
      </c>
      <c r="K53" s="99"/>
      <c r="L53" s="99"/>
    </row>
    <row r="54" spans="1:12" ht="36" customHeight="1" x14ac:dyDescent="0.25">
      <c r="A54" s="200" t="s">
        <v>216</v>
      </c>
      <c r="B54" s="203" t="s">
        <v>103</v>
      </c>
      <c r="C54" s="232" t="s">
        <v>265</v>
      </c>
      <c r="D54" s="233" t="s">
        <v>265</v>
      </c>
      <c r="E54" s="233" t="s">
        <v>265</v>
      </c>
      <c r="F54" s="233" t="s">
        <v>265</v>
      </c>
      <c r="G54" s="233" t="s">
        <v>265</v>
      </c>
      <c r="H54" s="233" t="s">
        <v>265</v>
      </c>
      <c r="I54" s="228" t="s">
        <v>294</v>
      </c>
      <c r="J54" s="228" t="s">
        <v>294</v>
      </c>
      <c r="K54" s="99"/>
      <c r="L54" s="99"/>
    </row>
  </sheetData>
  <mergeCells count="21">
    <mergeCell ref="B21:B23"/>
    <mergeCell ref="A13:L13"/>
    <mergeCell ref="A16:L16"/>
    <mergeCell ref="A14:L14"/>
    <mergeCell ref="A15:L15"/>
    <mergeCell ref="G22:H22"/>
    <mergeCell ref="J21:J23"/>
    <mergeCell ref="I21:I23"/>
    <mergeCell ref="K21:K23"/>
    <mergeCell ref="C22:D22"/>
    <mergeCell ref="A21:A23"/>
    <mergeCell ref="A19:L19"/>
    <mergeCell ref="C21:H21"/>
    <mergeCell ref="L21:L23"/>
    <mergeCell ref="A5:L5"/>
    <mergeCell ref="A7:L7"/>
    <mergeCell ref="A9:L9"/>
    <mergeCell ref="A10:L10"/>
    <mergeCell ref="A12:L12"/>
    <mergeCell ref="A8:L8"/>
    <mergeCell ref="A11:L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2025-03-12T08:49:06Z</dcterms:modified>
</cp:coreProperties>
</file>