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8" activeTab="10"/>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F37" i="16" l="1"/>
  <c r="E37" i="16"/>
  <c r="B73" i="22" l="1"/>
  <c r="C84" i="22" l="1"/>
  <c r="K31" i="15" l="1"/>
  <c r="A5" i="7"/>
  <c r="B36" i="22" l="1"/>
  <c r="B72" i="22" l="1"/>
  <c r="C82" i="22" s="1"/>
  <c r="B63" i="22" l="1"/>
  <c r="B58" i="22"/>
  <c r="B53" i="22"/>
  <c r="B48" i="22"/>
  <c r="B43" i="22"/>
  <c r="B38" i="22"/>
  <c r="B33" i="22"/>
  <c r="AD32" i="32"/>
  <c r="R32" i="32"/>
  <c r="B30" i="22" l="1"/>
  <c r="B29" i="22" s="1"/>
  <c r="B66" i="22"/>
  <c r="AB31" i="32"/>
  <c r="X31" i="32"/>
  <c r="P31" i="32"/>
  <c r="R31" i="32" s="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G64" i="15" l="1"/>
  <c r="C54" i="15"/>
  <c r="G40" i="15"/>
  <c r="E40" i="15" s="1"/>
  <c r="C33" i="15"/>
  <c r="J28" i="15"/>
  <c r="K28" i="15" s="1"/>
  <c r="C55" i="15"/>
  <c r="C46" i="15"/>
  <c r="G57" i="15"/>
  <c r="C44" i="15"/>
  <c r="G48" i="15"/>
  <c r="G52" i="15"/>
  <c r="C31" i="15"/>
  <c r="C53" i="15"/>
  <c r="C37" i="15"/>
  <c r="J26" i="15"/>
  <c r="C48" i="15"/>
  <c r="G34" i="15"/>
  <c r="G62" i="15"/>
  <c r="G49" i="15"/>
  <c r="C39" i="15"/>
  <c r="G31" i="15"/>
  <c r="H27" i="15"/>
  <c r="I27" i="15" s="1"/>
  <c r="G53" i="15"/>
  <c r="G44" i="15"/>
  <c r="C56" i="15"/>
  <c r="C34" i="15"/>
  <c r="F34" i="15" s="1"/>
  <c r="E34" i="15" s="1"/>
  <c r="G39" i="15"/>
  <c r="E39" i="15" s="1"/>
  <c r="G46" i="15"/>
  <c r="G29" i="15"/>
  <c r="C47" i="15"/>
  <c r="G36" i="15"/>
  <c r="E36" i="15" s="1"/>
  <c r="H25" i="15"/>
  <c r="G42" i="15"/>
  <c r="E42" i="15" s="1"/>
  <c r="H26" i="15"/>
  <c r="G60" i="15"/>
  <c r="G47" i="15"/>
  <c r="G37" i="15"/>
  <c r="E37" i="15" s="1"/>
  <c r="G30" i="15"/>
  <c r="G26" i="15"/>
  <c r="D26" i="15" s="1"/>
  <c r="C52" i="15"/>
  <c r="C42" i="15"/>
  <c r="G50" i="15"/>
  <c r="G61" i="15"/>
  <c r="C32" i="15"/>
  <c r="C38" i="15"/>
  <c r="G27" i="15"/>
  <c r="G41" i="15"/>
  <c r="E41" i="15" s="1"/>
  <c r="G32" i="15"/>
  <c r="G24" i="15"/>
  <c r="C41" i="15"/>
  <c r="G56" i="15"/>
  <c r="C45" i="15"/>
  <c r="C36" i="15"/>
  <c r="C30" i="15"/>
  <c r="G25" i="15"/>
  <c r="C49" i="15"/>
  <c r="G63" i="15"/>
  <c r="G45" i="15"/>
  <c r="G54" i="15"/>
  <c r="G28" i="15"/>
  <c r="G33" i="15"/>
  <c r="J25" i="15"/>
  <c r="K25" i="15" s="1"/>
  <c r="C40" i="15"/>
  <c r="H28" i="15"/>
  <c r="G55" i="15"/>
  <c r="G38" i="15"/>
  <c r="E38" i="15" s="1"/>
  <c r="J27" i="15"/>
  <c r="K27" i="15" s="1"/>
  <c r="I28" i="15" l="1"/>
  <c r="C28" i="15"/>
  <c r="D28" i="15"/>
  <c r="E28" i="15"/>
  <c r="F32" i="15"/>
  <c r="E32" i="15" s="1"/>
  <c r="I25" i="15"/>
  <c r="C25" i="15"/>
  <c r="F33" i="15"/>
  <c r="E33" i="15" s="1"/>
  <c r="E25" i="15"/>
  <c r="D25" i="15"/>
  <c r="K26" i="15"/>
  <c r="F26" i="15"/>
  <c r="E26" i="15" s="1"/>
  <c r="I26" i="15"/>
  <c r="C26" i="15"/>
  <c r="E29" i="15"/>
  <c r="A15" i="7" l="1"/>
  <c r="A15" i="28" l="1"/>
  <c r="A15" i="22"/>
  <c r="A15" i="6"/>
  <c r="A15" i="24"/>
  <c r="B21" i="22"/>
  <c r="A14" i="27"/>
  <c r="A15" i="31"/>
  <c r="A15" i="16"/>
  <c r="A16" i="25"/>
  <c r="A15" i="32"/>
  <c r="A14" i="29"/>
  <c r="A14" i="15"/>
  <c r="I30" i="15" l="1"/>
  <c r="B27" i="22" l="1"/>
  <c r="B25" i="22"/>
  <c r="C28" i="6"/>
  <c r="C30" i="6"/>
  <c r="B26" i="22" s="1"/>
  <c r="B101" i="22" s="1"/>
  <c r="B64" i="22" l="1"/>
  <c r="B54" i="22"/>
  <c r="B44" i="22"/>
  <c r="B34" i="22"/>
  <c r="B78" i="22" s="1"/>
  <c r="B59" i="22"/>
  <c r="B80" i="22" s="1"/>
  <c r="B49" i="22"/>
  <c r="B39" i="22"/>
  <c r="B79" i="22" s="1"/>
  <c r="C29" i="6"/>
  <c r="E30" i="15" l="1"/>
  <c r="F30" i="15"/>
  <c r="K24" i="15" l="1"/>
  <c r="D24" i="15" l="1"/>
  <c r="B82" i="22" l="1"/>
  <c r="C48" i="7"/>
  <c r="J24" i="15"/>
  <c r="D27" i="15" s="1"/>
  <c r="D82" i="22" l="1"/>
  <c r="B81" i="22"/>
  <c r="J29" i="15"/>
  <c r="K29" i="15" l="1"/>
  <c r="D29" i="15"/>
  <c r="D30" i="15" l="1"/>
  <c r="C49" i="7" l="1"/>
  <c r="B84" i="22"/>
  <c r="D84" i="22" l="1"/>
  <c r="B83" i="22"/>
  <c r="D55" i="15" l="1"/>
  <c r="D38" i="15"/>
  <c r="D46" i="15"/>
  <c r="D52" i="15" l="1"/>
  <c r="D54" i="15" l="1"/>
  <c r="D45" i="15"/>
  <c r="D37" i="15"/>
  <c r="D57" i="15"/>
  <c r="D50" i="15"/>
  <c r="D42" i="15"/>
  <c r="D56" i="15"/>
  <c r="D47" i="15"/>
  <c r="D39" i="15"/>
  <c r="H30" i="15" l="1"/>
  <c r="H24" i="15" l="1"/>
  <c r="C24" i="15" l="1"/>
  <c r="H29" i="15"/>
  <c r="I24" i="15"/>
  <c r="I29" i="15" l="1"/>
  <c r="C29" i="15"/>
  <c r="C27" i="15" s="1"/>
  <c r="E24" i="15"/>
  <c r="F24" i="15"/>
  <c r="F27" i="15" s="1"/>
  <c r="E27" i="15" s="1"/>
  <c r="K63" i="15" l="1"/>
  <c r="K61" i="15"/>
  <c r="J61" i="15" l="1"/>
  <c r="D61" i="15" s="1"/>
  <c r="J63" i="15"/>
  <c r="D63" i="15" s="1"/>
  <c r="I60" i="15"/>
  <c r="K62" i="15"/>
  <c r="I62" i="15"/>
  <c r="K64" i="15" l="1"/>
  <c r="K60" i="15"/>
  <c r="J60" i="15"/>
  <c r="D60" i="15" s="1"/>
  <c r="J62" i="15"/>
  <c r="D62" i="15" s="1"/>
  <c r="C63" i="15" l="1"/>
  <c r="F63" i="15" s="1"/>
  <c r="E63" i="15" s="1"/>
  <c r="H60" i="15"/>
  <c r="C61" i="15"/>
  <c r="F61" i="15" s="1"/>
  <c r="E61" i="15" s="1"/>
  <c r="H62" i="15"/>
  <c r="J64" i="15"/>
  <c r="D64" i="15" s="1"/>
  <c r="I61" i="15" l="1"/>
  <c r="I64" i="15"/>
  <c r="H61" i="15"/>
  <c r="C60" i="15" l="1"/>
  <c r="F60" i="15" s="1"/>
  <c r="E60" i="15" s="1"/>
  <c r="C64" i="15" l="1"/>
  <c r="F64" i="15" s="1"/>
  <c r="E64" i="15" s="1"/>
  <c r="H64" i="15"/>
  <c r="K49" i="15" l="1"/>
  <c r="K41" i="15"/>
  <c r="K48" i="15"/>
  <c r="K40" i="15"/>
  <c r="J49" i="15"/>
  <c r="F49" i="15" s="1"/>
  <c r="E49" i="15" s="1"/>
  <c r="J41" i="15"/>
  <c r="J40" i="15"/>
  <c r="J48" i="15"/>
  <c r="F48" i="15" s="1"/>
  <c r="E48" i="15" s="1"/>
  <c r="H39" i="15"/>
  <c r="H47" i="15"/>
  <c r="I49" i="15"/>
  <c r="I41" i="15"/>
  <c r="I40" i="15"/>
  <c r="I48" i="15"/>
  <c r="H40" i="15"/>
  <c r="H48" i="15"/>
  <c r="J39" i="15"/>
  <c r="J47" i="15"/>
  <c r="F47" i="15" s="1"/>
  <c r="E47" i="15" s="1"/>
  <c r="I47" i="15"/>
  <c r="I39" i="15"/>
  <c r="K47" i="15"/>
  <c r="K39" i="15"/>
  <c r="H49" i="15"/>
  <c r="H41" i="15"/>
  <c r="J33" i="15" l="1"/>
  <c r="J30" i="15"/>
  <c r="K30" i="15"/>
  <c r="J32" i="15"/>
  <c r="J34" i="15"/>
  <c r="K33" i="15" l="1"/>
  <c r="D33" i="15"/>
  <c r="K32" i="15"/>
  <c r="D32" i="15"/>
  <c r="K34" i="15"/>
  <c r="D34" i="15"/>
  <c r="I52" i="15" l="1"/>
  <c r="H52" i="15"/>
  <c r="I56" i="15"/>
  <c r="H56" i="15"/>
  <c r="K52" i="15"/>
  <c r="K56" i="15"/>
  <c r="J56" i="15"/>
  <c r="F56" i="15" s="1"/>
  <c r="E56" i="15" s="1"/>
  <c r="J52" i="15"/>
  <c r="F52" i="15" s="1"/>
  <c r="E52" i="15" s="1"/>
  <c r="J38" i="15" l="1"/>
  <c r="J55" i="15"/>
  <c r="F55" i="15" s="1"/>
  <c r="E55" i="15" s="1"/>
  <c r="J46" i="15"/>
  <c r="F46" i="15" s="1"/>
  <c r="E46" i="15" s="1"/>
  <c r="I54" i="15"/>
  <c r="I45" i="15"/>
  <c r="I37" i="15"/>
  <c r="K54" i="15"/>
  <c r="K37" i="15"/>
  <c r="K45" i="15"/>
  <c r="H42" i="15"/>
  <c r="H57" i="15"/>
  <c r="H50" i="15"/>
  <c r="I53" i="15"/>
  <c r="I44" i="15"/>
  <c r="I36" i="15"/>
  <c r="J36" i="15"/>
  <c r="J44" i="15"/>
  <c r="F44" i="15" s="1"/>
  <c r="E44" i="15" s="1"/>
  <c r="J53" i="15"/>
  <c r="F53" i="15" s="1"/>
  <c r="E53" i="15" s="1"/>
  <c r="K36" i="15"/>
  <c r="K53" i="15"/>
  <c r="K44" i="15"/>
  <c r="K55" i="15"/>
  <c r="K38" i="15"/>
  <c r="K46" i="15"/>
  <c r="H36" i="15"/>
  <c r="H44" i="15"/>
  <c r="H53" i="15"/>
  <c r="H45" i="15"/>
  <c r="H37" i="15"/>
  <c r="H54" i="15"/>
  <c r="H38" i="15"/>
  <c r="H46" i="15"/>
  <c r="H55" i="15"/>
  <c r="I46" i="15"/>
  <c r="I55" i="15"/>
  <c r="I38" i="15"/>
  <c r="J57" i="15"/>
  <c r="F57" i="15" s="1"/>
  <c r="E57" i="15" s="1"/>
  <c r="J42" i="15"/>
  <c r="J50" i="15"/>
  <c r="F50" i="15" s="1"/>
  <c r="E50" i="15" s="1"/>
  <c r="J54" i="15"/>
  <c r="F54" i="15" s="1"/>
  <c r="E54" i="15" s="1"/>
  <c r="J45" i="15"/>
  <c r="F45" i="15" s="1"/>
  <c r="E45" i="15" s="1"/>
  <c r="J37" i="15"/>
  <c r="K50" i="15" l="1"/>
  <c r="K42" i="15"/>
  <c r="K57" i="15"/>
  <c r="I57" i="15"/>
  <c r="I50" i="15"/>
  <c r="I42" i="15"/>
  <c r="I63" i="15" l="1"/>
  <c r="C62" i="15" l="1"/>
  <c r="F62" i="15" s="1"/>
  <c r="E62" i="15" s="1"/>
  <c r="H63" i="15"/>
</calcChain>
</file>

<file path=xl/sharedStrings.xml><?xml version="1.0" encoding="utf-8"?>
<sst xmlns="http://schemas.openxmlformats.org/spreadsheetml/2006/main" count="1177" uniqueCount="565">
  <si>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</si>
  <si>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</si>
  <si>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</si>
  <si>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</si>
  <si>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</si>
  <si>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</si>
  <si>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</si>
  <si>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</si>
  <si>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</si>
  <si>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</si>
  <si>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</si>
  <si>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</si>
  <si>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</si>
  <si>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</si>
  <si>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</si>
  <si>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</si>
  <si>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</si>
  <si>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</si>
  <si>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</si>
  <si>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</si>
  <si>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</si>
  <si>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</si>
  <si>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</si>
  <si>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</si>
  <si>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</si>
  <si>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</si>
  <si>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</si>
  <si>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</si>
  <si>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</si>
  <si>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</si>
  <si>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</si>
  <si>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</si>
  <si>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</si>
  <si>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</si>
  <si>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</si>
  <si>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</si>
  <si>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</si>
  <si>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</si>
  <si>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</si>
  <si>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</si>
  <si>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</si>
  <si>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</si>
  <si>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</si>
  <si>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</si>
  <si>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</si>
  <si>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</si>
  <si>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</si>
  <si>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</si>
  <si>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</si>
  <si>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</si>
  <si>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</si>
  <si>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</si>
  <si>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</si>
  <si>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</si>
  <si>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</si>
  <si>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</si>
  <si>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</si>
  <si>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</si>
  <si>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</si>
  <si>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</si>
  <si>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</si>
  <si>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</si>
  <si>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</si>
  <si>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</si>
  <si>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</si>
  <si>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</si>
  <si>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</si>
  <si>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</si>
  <si>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</si>
  <si>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</si>
  <si>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</si>
  <si>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</si>
  <si>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</si>
  <si>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</si>
  <si>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</si>
  <si>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</si>
  <si>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</si>
  <si>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</si>
  <si>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</si>
  <si>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</si>
  <si>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</si>
  <si>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</si>
  <si>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</si>
  <si>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</si>
  <si>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</si>
  <si>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</si>
  <si>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</si>
  <si>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</si>
  <si>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</si>
  <si>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</si>
  <si>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</si>
  <si>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</si>
  <si>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</si>
  <si>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</si>
  <si>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</si>
  <si>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</si>
  <si>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</si>
  <si>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</si>
  <si>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</si>
  <si>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</si>
  <si>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</si>
  <si>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</si>
  <si>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</si>
  <si>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</si>
  <si>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</si>
  <si>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</si>
  <si>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</si>
  <si>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</si>
  <si>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</si>
  <si>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</si>
  <si>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</si>
  <si>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</si>
  <si>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</si>
  <si>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</si>
  <si>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</si>
  <si>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</si>
  <si>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</si>
  <si>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</si>
  <si>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</si>
  <si>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</si>
  <si>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</si>
  <si>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</si>
  <si>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</si>
  <si>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</si>
  <si>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</si>
  <si>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</si>
  <si>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</si>
  <si>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</si>
  <si>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</si>
  <si>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</si>
  <si>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</si>
  <si>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</si>
  <si>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</si>
  <si>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</si>
  <si>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</si>
  <si>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</si>
  <si>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</si>
  <si>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</si>
  <si>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</si>
  <si>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</si>
  <si>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</si>
  <si>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</si>
  <si>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</si>
  <si>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</si>
  <si>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</si>
  <si>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</si>
  <si>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</si>
  <si>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</si>
  <si>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</si>
  <si>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</si>
  <si>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</si>
  <si>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</si>
  <si>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</si>
  <si>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</si>
  <si>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</si>
  <si>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</si>
  <si>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</si>
  <si>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</si>
  <si>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</si>
  <si>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</si>
  <si>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</si>
  <si>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</si>
  <si>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</si>
  <si>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</si>
  <si>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</si>
  <si>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</si>
  <si>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</si>
  <si>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</si>
  <si>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</si>
  <si>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</si>
  <si>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</si>
  <si>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</si>
  <si>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</si>
  <si>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</si>
  <si>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</si>
  <si>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</si>
  <si>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</si>
  <si>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</si>
  <si>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</si>
  <si>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</si>
  <si>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</si>
  <si>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</si>
  <si>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</si>
  <si>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</si>
  <si>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</si>
  <si>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</si>
  <si>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</si>
  <si>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</si>
  <si>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</si>
  <si>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</si>
  <si>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</si>
  <si>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</si>
  <si>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</si>
  <si>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</si>
  <si>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</si>
  <si>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</si>
  <si>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</si>
  <si>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</si>
  <si>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</si>
  <si>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</si>
  <si>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</si>
  <si>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</si>
  <si>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</si>
  <si>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</si>
  <si>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</si>
  <si>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</si>
  <si>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</si>
  <si>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</si>
  <si>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</si>
  <si>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</si>
  <si>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</si>
  <si>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</si>
  <si>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</si>
  <si>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</si>
  <si>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</si>
  <si>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</si>
  <si>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</si>
  <si>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</si>
  <si>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</si>
  <si>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</si>
  <si>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</si>
  <si>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</si>
  <si>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</si>
  <si>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</si>
  <si>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</si>
  <si>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</si>
  <si>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</si>
  <si>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</si>
  <si>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</si>
  <si>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</si>
  <si>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</si>
  <si>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</si>
  <si>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</si>
  <si>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</si>
  <si>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</si>
  <si>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</si>
  <si>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</si>
  <si>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</si>
  <si>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</si>
  <si>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</si>
  <si>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</si>
  <si>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</si>
  <si>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</si>
  <si>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</si>
  <si>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</si>
  <si>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</si>
  <si>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</si>
  <si>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</si>
  <si>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</si>
  <si>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</si>
  <si>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</si>
  <si>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</si>
  <si>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</si>
  <si>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</si>
  <si>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</si>
  <si>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</si>
  <si>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</si>
  <si>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</si>
  <si>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</si>
  <si>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</si>
  <si>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</si>
  <si>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</si>
  <si>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</si>
  <si>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</si>
  <si>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</si>
  <si>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</si>
  <si>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</si>
  <si>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</si>
  <si>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</si>
  <si>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</si>
  <si>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</si>
  <si>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</si>
  <si>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</si>
  <si>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</si>
  <si>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</si>
  <si>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</si>
  <si>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</si>
  <si>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</si>
  <si>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</si>
  <si>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</si>
  <si>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</si>
  <si>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</si>
  <si>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</si>
  <si>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</si>
  <si>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</si>
  <si>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</si>
  <si>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</si>
  <si>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</si>
  <si>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</si>
  <si>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</si>
  <si>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</si>
  <si>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</si>
  <si>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</si>
  <si>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</si>
  <si>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</si>
  <si>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</si>
  <si>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</si>
  <si>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</si>
  <si>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</si>
  <si>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</si>
  <si>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</si>
  <si>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</si>
  <si>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</si>
  <si>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</si>
  <si>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</si>
  <si>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</si>
  <si>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</si>
  <si>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</si>
  <si>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</si>
  <si>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</si>
  <si>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</si>
  <si>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</si>
  <si>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</si>
  <si>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</si>
  <si>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</si>
  <si>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</si>
  <si>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</si>
  <si>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</si>
  <si>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</si>
  <si>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</si>
  <si>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</si>
  <si>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</si>
  <si>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</si>
  <si>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</si>
  <si>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</si>
  <si>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</si>
  <si>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</si>
  <si>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</si>
  <si>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</si>
  <si>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</si>
  <si>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</si>
  <si>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</si>
  <si>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</si>
  <si>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</si>
  <si>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</si>
  <si>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</si>
  <si>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</si>
  <si>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</si>
  <si>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</si>
  <si>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</si>
  <si>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</si>
  <si>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</si>
  <si>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</si>
  <si>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</si>
  <si>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</si>
  <si>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</si>
  <si>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</si>
  <si>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</si>
  <si>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</si>
  <si>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</si>
  <si>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</si>
  <si>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</si>
  <si>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</si>
  <si>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</si>
  <si>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</si>
  <si>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</si>
  <si>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</si>
  <si>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</si>
  <si>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</si>
  <si>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</si>
  <si>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</si>
  <si>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</si>
  <si>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</si>
  <si>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</si>
  <si>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</si>
  <si>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</si>
  <si>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</si>
  <si>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</si>
  <si>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</si>
  <si>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</si>
  <si>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</si>
  <si>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</si>
  <si>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</si>
  <si>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</si>
  <si>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</si>
  <si>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</si>
  <si>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</si>
  <si>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</si>
  <si>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</si>
  <si>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</si>
  <si>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</si>
  <si>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</si>
  <si>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</si>
  <si>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</si>
  <si>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</si>
  <si>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</si>
  <si>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</si>
  <si>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</si>
  <si>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</si>
  <si>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</si>
  <si>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</si>
  <si>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</si>
  <si>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</si>
  <si>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</si>
  <si>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</si>
  <si>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</si>
  <si>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</si>
  <si>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</si>
  <si>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</si>
  <si>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</si>
  <si>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</si>
  <si>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</si>
  <si>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</si>
  <si>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</si>
  <si>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</si>
  <si>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</si>
  <si>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</si>
  <si>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</si>
  <si>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</si>
  <si>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</si>
  <si>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</si>
  <si>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</si>
  <si>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</si>
  <si>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</si>
  <si>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</si>
  <si>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</si>
  <si>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</si>
  <si>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</si>
  <si>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</si>
  <si>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</si>
  <si>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</si>
  <si>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</si>
  <si>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</si>
  <si>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</si>
  <si>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</si>
  <si>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</si>
  <si>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</si>
  <si>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</si>
  <si>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</si>
  <si>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</si>
  <si>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</si>
  <si>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</si>
  <si>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</si>
  <si>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</si>
  <si>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</si>
  <si>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</si>
  <si>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</si>
  <si>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</si>
  <si>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</si>
  <si>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</si>
  <si>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</si>
  <si>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</si>
  <si>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</si>
  <si>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</si>
  <si>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</si>
  <si>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</si>
  <si>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</si>
  <si>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</si>
  <si>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</si>
  <si>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</si>
  <si>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</si>
  <si>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</si>
  <si>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</si>
  <si>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</si>
  <si>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</si>
  <si>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K_Che303</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</si>
  <si>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</si>
  <si>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</si>
  <si>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</si>
  <si>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</si>
  <si>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</si>
  <si>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</si>
  <si>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</si>
  <si>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</si>
  <si>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</si>
  <si>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</si>
  <si>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</si>
  <si>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</si>
  <si>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</si>
  <si>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</si>
  <si>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не применимо</t>
  </si>
  <si>
    <t>Чеченская Республика</t>
  </si>
  <si>
    <t>г. Грозный</t>
  </si>
  <si>
    <t>не относится</t>
  </si>
  <si>
    <t>не предусмотрен</t>
  </si>
  <si>
    <t>не проводились</t>
  </si>
  <si>
    <t>ООО "НИЙСО и К" № 02-20-ПИР-ЧЭ от 25.05.2020 г. д/с №1 от 21.10.20 г. ; д/с №3 от 13.12.21 г  (цена договора 583,35 млн.руб.; объем затрат по данному объекту составляет 6,98 млн.р. с НДС)</t>
  </si>
  <si>
    <t>ООО "Фирма ОРГРЭС" № 101 от 06.12.2022г. (объем затрат по данному объекту составляет 5,04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</si>
  <si>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</si>
  <si>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147,01 млн.р. с НДС)</t>
  </si>
  <si>
    <t>ООО "Инженерный центр ЭНЕРГОСЕТЬПРОЕКТ" № 104 от 07.12.2022г.  (объем затрат по данному объекту составляет 69,81 млн.р. с НДС)</t>
  </si>
  <si>
    <t>ООО "Инженерный центр ЭНЕРГОСЕТЬПРОЕКТ" № 105 от 07.12.2022г.  (объем затрат по данному объекту составляет 22,24 млн.р. с НДС)</t>
  </si>
  <si>
    <t xml:space="preserve">Поставка блочно-модульных зданий </t>
  </si>
  <si>
    <t>АО «Чеченэнерго"</t>
  </si>
  <si>
    <t>КП</t>
  </si>
  <si>
    <t>ООО Фирма "ОРГРЭС";                 ООО "ЭЛТЕРА";                                 ООО "ТАВРИДА ЭЛЕКТРИК ЮСК"</t>
  </si>
  <si>
    <t>ООО "ЭЛТЕРА";                  ООО "ТАВРИДА ЭЛЕКТРИК ЮСК"</t>
  </si>
  <si>
    <t>ООО Фирма "ОРГРЭС"</t>
  </si>
  <si>
    <t>https://www.roseltorg.ru,</t>
  </si>
  <si>
    <t xml:space="preserve">Поставка высоковольтного оборудования </t>
  </si>
  <si>
    <t>ООО "ИНЖЕНЕРНЫЙ ЦЕНТР ЭНЕРГОСЕТЬПРОЕКТ"</t>
  </si>
  <si>
    <t>№ 32211863319</t>
  </si>
  <si>
    <t xml:space="preserve">Поставка вторичного оборудования </t>
  </si>
  <si>
    <t>№ 32211863329</t>
  </si>
  <si>
    <t xml:space="preserve">Поставка силовых трансформаторов </t>
  </si>
  <si>
    <t>ООО "ТОЛЬЯТТИНСКИЙ ТРАНСФОРМАТОР" ;                 ООО "ИНЖЕНЕРНЫЙ ЦЕНТР ЭНЕРГОСЕТЬПРОЕКТ"</t>
  </si>
  <si>
    <t xml:space="preserve">ООО "ТОЛЬЯТТИНСКИЙ ТРАНСФОРМАТОР"                </t>
  </si>
  <si>
    <t>№ 32211863311</t>
  </si>
  <si>
    <t>СМР</t>
  </si>
  <si>
    <t>СР</t>
  </si>
  <si>
    <t>конкурс</t>
  </si>
  <si>
    <t>ООО "АВАНГАРД"</t>
  </si>
  <si>
    <t>rosseti.roseltorg.ru</t>
  </si>
  <si>
    <t xml:space="preserve">закупка у ЕИ не осуществлялась </t>
  </si>
  <si>
    <t>строительный контроль</t>
  </si>
  <si>
    <t>объем заключенного договора в ценах 2023 года с НДС, млн. руб.</t>
  </si>
  <si>
    <t>АО "Россети ЦТЗ" № 18-2023-СК-ЧЭ от 18.09.2023</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</si>
  <si>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6 980,00  тыс. руб. с НДС.</t>
  </si>
  <si>
    <t>265 375,86 
265 641,50</t>
  </si>
  <si>
    <t>ООО "Инженерный центр ЭНЕРГОСЕТЬПРОЕКТ" № 103 от 07.12.2022, объем затрат по данному объекту составляет 147,01 млн.руб. с НДС</t>
  </si>
  <si>
    <t>ООО "Инженерный центр ЭНЕРГОСЕТЬПРОЕКТ" № 104 от 07.12.2022, объем затрат по данному объекту составляет 69,81 млн.руб. с НДС</t>
  </si>
  <si>
    <t>ООО "Инженерный центр ЭНЕРГОСЕТЬПРОЕКТ" № 105 от 07.12.2022, объем затрат по данному объекту составляет 22,24 млн.руб. с НДС</t>
  </si>
  <si>
    <t>ООО "Фирма ОРГРЭС" № 101 от 06.12.2022, объем затрат по данному объекту составляет 5,04 млн.руб. с НДС</t>
  </si>
  <si>
    <t xml:space="preserve">АО "Россети ЦТЗ" договор от 18.09.2023 г. № 18-2023-СК-ЧЭ заключен с взаимозависимым лицом на осоновании решения Совета директоров (протокол от 20.10.2022 № 509) </t>
  </si>
  <si>
    <t>АО "Чеченэнерго</t>
  </si>
  <si>
    <t>АО "Россети ЦТЗ"</t>
  </si>
  <si>
    <t>отсутствуют</t>
  </si>
  <si>
    <t>Без использования функционала ЭТП</t>
  </si>
  <si>
    <t>06.12..2022</t>
  </si>
  <si>
    <t>АО "Россети ЦТЗ", ООО "Фирма ОРГРЭС"</t>
  </si>
  <si>
    <t xml:space="preserve">ООО "АВАНГАРД" </t>
  </si>
  <si>
    <t>ООО "Инженерный центр ЭНЕРГОСЕТЬПРОЕКТ", ООО "Фирма ОРГРЭС"</t>
  </si>
  <si>
    <t>реконструкция</t>
  </si>
  <si>
    <t xml:space="preserve"> по состоянию на 01.01.2023</t>
  </si>
  <si>
    <t>по состоянию на 01.01.2024</t>
  </si>
  <si>
    <t>Факт 2023 года</t>
  </si>
  <si>
    <t xml:space="preserve">2024 год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</si>
  <si>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</si>
  <si>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</si>
  <si>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</si>
  <si>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35 кв, не связанного с осуществлением технологического присоединения к электрическим сетям ; - 4 МВт.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- 3,2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- 89,67 млн.руб.</t>
  </si>
  <si>
    <t>№22468/2022/ЧЭ/ГРОГЭС 10.02.2023</t>
  </si>
  <si>
    <t>в работе</t>
  </si>
  <si>
    <t>ЦРП-1</t>
  </si>
  <si>
    <t>ПС 35 кВ Аэропорт</t>
  </si>
  <si>
    <t>1. Реконструкция ПС 35 кВ Аэропорт
2. становка Т-2 4 МВА с монтажом ячейки 35 кВ
3. Изменение схемы ОРУ 35 кВ на №35-4Н (3 ячейки). Перевод ПС из отпаечного режима в ;Н для повшения надежности энергоснабжения Аэропорта Грозный
4. Монтаж КРУН-10 кВ
5. РЗА ПС 35 кВ Аэропорт
6. СОПТ ПС 35 кВ Аэропорт
7. ССПИ   ПС 35 кВ Аэропорт
8. АИИС КУЭ  ПС 35 кВ Аэропорт</t>
  </si>
  <si>
    <t>Трансформатор силовой масляный,
Выключатель</t>
  </si>
  <si>
    <t>ТМН-4000/35/10
ВТ-35-630-12,5</t>
  </si>
  <si>
    <t>ТМН-4000/35/10
ТМН-4000/35 ВМ У1
ВТ-35-630-12,5
ВВН-35-П-258/1000</t>
  </si>
  <si>
    <t>Т-1
В-Т1-32</t>
  </si>
  <si>
    <t>Т-1
Т-2
В-Т1-35
В-Т2-35</t>
  </si>
  <si>
    <t>2000
2022</t>
  </si>
  <si>
    <t>2013
 (КР В-Т1-35)</t>
  </si>
  <si>
    <t>Акт технического освидетельствования №40 от 24.05.2021г.
АО "Чеченэнерго"</t>
  </si>
  <si>
    <t>Разрешается дальнейшая эксплуатация оборудования ПС Аэропорт</t>
  </si>
  <si>
    <t>не осуществлялось</t>
  </si>
  <si>
    <t>Исполнение обязательств по договору технологического присоединения №22468/2022/ЧЭ/ГРОГЭС 10.02.2023</t>
  </si>
  <si>
    <t>Технологическое присоединение ФКУ "Дирекция государственного заказчика по реализации комплексных проектов развития транспортной инфраструктуры" максимальной мощностью 3,2 МВт</t>
  </si>
  <si>
    <t>Установка Т-2 4МВА с мантожом ячейки 35 кВ, монтаж 2 секции шин 10 кВ (9 ячеек с 4 линейными ячейками)</t>
  </si>
  <si>
    <t>70,92 млн.руб./МВА.</t>
  </si>
  <si>
    <t>Договор технологического присоединения №22468/2022/ЧЭ/ГРОГЭС 10.02.2023</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</si>
  <si>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</si>
  <si>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</si>
  <si>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</si>
  <si>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</si>
  <si>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</si>
  <si>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</si>
  <si>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</si>
  <si>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 прочие затраты по объекту, в т.ч.</t>
  </si>
  <si>
    <t>заработная плата производственного персонала</t>
  </si>
  <si>
    <t>проценты за пользование кредитными средствами</t>
  </si>
  <si>
    <t>Договор от 18.09.2023 №13-2023-СМР-ЧЭ заключен на осуществление работ  по 2 объектам на общую сумму 161 599,56 тыс. руб. с НДС в соответствии с ДС № 1 от 19.03.2024. Объем затрат по данному объекту в соответствии ДС № 1 от 19.03.2024 составляет   70 748,32  тыс. руб. с НДС</t>
  </si>
  <si>
    <t>ООО "АВАНГАРД" от 18.09.2023 №13-2023-СМР-ЧЭ, объем затрат по данному объекту - 70,75 млн руб. с НДС</t>
  </si>
  <si>
    <t>18.09.2023
(19.03.2024)</t>
  </si>
  <si>
    <t xml:space="preserve">ООО "Фирма ОРГРЭС" № 31-2023-АН-ЧЭ от 21.12.2023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</si>
</sst>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Red]#,##0.00"/>
    <numFmt numFmtId="168" formatCode="0.0%"/>
    <numFmt numFmtId="169" formatCode="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40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64" fillId="0" borderId="0" xfId="50" applyFont="1" applyFill="1" applyAlignment="1">
      <alignment horizontal="center" vertical="center"/>
    </xf>
    <xf numFmtId="0" fontId="36" fillId="0" borderId="14"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1" fontId="10" fillId="0" borderId="10" xfId="50" applyNumberFormat="1" applyFont="1" applyFill="1" applyBorder="1" applyAlignment="1">
      <alignment vertical="center" wrapText="1"/>
    </xf>
    <xf numFmtId="167"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6" fillId="0" borderId="10" xfId="50" applyNumberFormat="1" applyFont="1" applyFill="1" applyBorder="1" applyAlignment="1">
      <alignment horizontal="center" vertical="center"/>
    </xf>
    <xf numFmtId="0" fontId="81" fillId="0" borderId="10" xfId="69" applyFont="1" applyBorder="1" applyAlignment="1">
      <alignment vertical="center" wrapText="1"/>
    </xf>
    <xf numFmtId="14" fontId="6" fillId="0" borderId="10" xfId="50" applyNumberFormat="1" applyFont="1" applyFill="1" applyBorder="1" applyAlignment="1">
      <alignment horizontal="center" vertical="center"/>
    </xf>
    <xf numFmtId="0" fontId="6" fillId="0" borderId="10" xfId="50" applyFont="1" applyFill="1" applyBorder="1" applyAlignment="1">
      <alignment vertical="center" wrapText="1"/>
    </xf>
    <xf numFmtId="0" fontId="6" fillId="0" borderId="0" xfId="50" applyFont="1" applyFill="1"/>
    <xf numFmtId="0" fontId="6" fillId="0" borderId="10" xfId="50" applyFont="1" applyBorder="1"/>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10" xfId="50" applyFont="1" applyBorder="1" applyAlignment="1">
      <alignment horizontal="center" vertical="center" wrapText="1"/>
    </xf>
    <xf numFmtId="4" fontId="76" fillId="0" borderId="10" xfId="50" applyNumberFormat="1" applyFont="1" applyBorder="1" applyAlignment="1">
      <alignment horizontal="center" vertic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6" fillId="0" borderId="10" xfId="50" applyFont="1" applyBorder="1" applyAlignment="1">
      <alignment horizontal="center" vertical="center"/>
    </xf>
    <xf numFmtId="2" fontId="64" fillId="0" borderId="14" xfId="50" applyNumberFormat="1" applyFont="1" applyFill="1" applyBorder="1" applyAlignment="1">
      <alignment horizontal="center" vertical="center"/>
    </xf>
    <xf numFmtId="0" fontId="6" fillId="0" borderId="10" xfId="50" applyFont="1" applyFill="1" applyBorder="1" applyAlignment="1">
      <alignment horizontal="justify" vertical="center" wrapText="1"/>
    </xf>
    <xf numFmtId="0" fontId="82" fillId="0" borderId="10" xfId="0" applyFont="1" applyFill="1" applyBorder="1" applyAlignment="1">
      <alignment horizontal="center"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0" fontId="61" fillId="0" borderId="0" xfId="50" applyFont="1" applyFill="1"/>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top"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10" fontId="34" fillId="0" borderId="10" xfId="68" applyNumberFormat="1" applyFont="1" applyFill="1" applyBorder="1" applyAlignment="1">
      <alignment horizontal="justify" vertical="center" wrapText="1"/>
    </xf>
    <xf numFmtId="10" fontId="34" fillId="0" borderId="10" xfId="40" applyNumberFormat="1" applyFont="1" applyFill="1" applyBorder="1" applyAlignment="1">
      <alignment horizontal="justify"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9" fontId="10" fillId="0" borderId="21" xfId="68" applyFont="1" applyFill="1" applyBorder="1" applyAlignment="1">
      <alignment horizontal="center" vertical="center" wrapText="1"/>
    </xf>
    <xf numFmtId="2" fontId="35" fillId="0" borderId="10" xfId="40" applyNumberFormat="1" applyFont="1" applyFill="1" applyBorder="1" applyAlignment="1">
      <alignment horizontal="justify" vertical="center" wrapText="1"/>
    </xf>
    <xf numFmtId="168" fontId="34" fillId="0" borderId="10" xfId="40" applyNumberFormat="1"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3" fillId="0" borderId="0" xfId="51" applyFont="1" applyFill="1" applyBorder="1" applyAlignment="1">
      <alignment horizontal="center" vertical="center"/>
    </xf>
    <xf numFmtId="2" fontId="36" fillId="0" borderId="0" xfId="40" applyNumberFormat="1" applyFont="1" applyFill="1"/>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1" fontId="10" fillId="0" borderId="10" xfId="50" applyNumberFormat="1" applyFont="1" applyFill="1" applyBorder="1" applyAlignment="1">
      <alignment horizontal="center" vertical="center" wrapText="1"/>
    </xf>
    <xf numFmtId="2" fontId="10" fillId="0" borderId="33" xfId="40" applyNumberFormat="1" applyFont="1" applyFill="1" applyBorder="1" applyAlignment="1">
      <alignment horizontal="center" vertical="center" wrapText="1"/>
    </xf>
    <xf numFmtId="4" fontId="6" fillId="0" borderId="33" xfId="50" applyNumberFormat="1" applyFont="1" applyFill="1" applyBorder="1" applyAlignment="1">
      <alignment horizontal="center" vertical="center"/>
    </xf>
    <xf numFmtId="2" fontId="34" fillId="0" borderId="33" xfId="40" applyNumberFormat="1" applyFont="1" applyFill="1" applyBorder="1" applyAlignment="1">
      <alignment horizontal="justify" vertical="center" wrapText="1"/>
    </xf>
    <xf numFmtId="0" fontId="10" fillId="0" borderId="33"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33" xfId="40" applyBorder="1" applyAlignment="1">
      <alignment horizontal="center" vertical="center" wrapText="1"/>
    </xf>
    <xf numFmtId="0" fontId="10" fillId="0" borderId="21" xfId="0" applyFont="1" applyBorder="1" applyAlignment="1">
      <alignment horizontal="center" vertical="center" wrapText="1"/>
    </xf>
    <xf numFmtId="14" fontId="10" fillId="0" borderId="33" xfId="40" applyNumberFormat="1" applyFont="1" applyFill="1" applyBorder="1" applyAlignment="1">
      <alignment horizontal="center" vertical="center"/>
    </xf>
    <xf numFmtId="14" fontId="10" fillId="0" borderId="33" xfId="40" applyNumberFormat="1" applyBorder="1" applyAlignment="1">
      <alignment horizontal="center" vertical="center"/>
    </xf>
    <xf numFmtId="9" fontId="10" fillId="0" borderId="33" xfId="60" applyFont="1" applyFill="1" applyBorder="1" applyAlignment="1">
      <alignment horizontal="center" vertical="center" wrapText="1"/>
    </xf>
    <xf numFmtId="14" fontId="10" fillId="0" borderId="21" xfId="0" applyNumberFormat="1" applyFont="1" applyBorder="1" applyAlignment="1">
      <alignment horizontal="center" vertical="center" wrapText="1"/>
    </xf>
    <xf numFmtId="0" fontId="10" fillId="0" borderId="33" xfId="40" applyFont="1" applyFill="1" applyBorder="1" applyAlignment="1">
      <alignment horizontal="center" vertical="center"/>
    </xf>
    <xf numFmtId="0" fontId="10" fillId="0" borderId="33" xfId="40" applyBorder="1" applyAlignment="1">
      <alignment horizontal="center" vertical="center"/>
    </xf>
    <xf numFmtId="14" fontId="76" fillId="0" borderId="33" xfId="0" applyNumberFormat="1" applyFont="1" applyBorder="1" applyAlignment="1">
      <alignment horizontal="center" vertical="center" wrapText="1" readingOrder="1"/>
    </xf>
    <xf numFmtId="14" fontId="76" fillId="0" borderId="33" xfId="0" applyNumberFormat="1" applyFont="1" applyFill="1" applyBorder="1" applyAlignment="1">
      <alignment horizontal="center" vertical="center" wrapText="1" readingOrder="1"/>
    </xf>
    <xf numFmtId="14" fontId="10" fillId="0" borderId="33" xfId="40" applyNumberFormat="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4" fillId="0" borderId="0" xfId="50" applyFont="1" applyFill="1" applyAlignment="1">
      <alignment horizontal="center"/>
    </xf>
    <xf numFmtId="0" fontId="61" fillId="0" borderId="17" xfId="50" applyFont="1" applyFill="1" applyBorder="1" applyAlignment="1">
      <alignment horizontal="center"/>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42" fillId="0" borderId="0" xfId="51" applyFont="1" applyFill="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169" fontId="6" fillId="0" borderId="14" xfId="50" applyNumberFormat="1" applyFont="1" applyFill="1" applyBorder="1" applyAlignment="1">
      <alignment horizontal="center" vertical="center" wrapText="1"/>
    </xf>
    <xf numFmtId="169" fontId="6" fillId="0" borderId="13" xfId="50" applyNumberFormat="1" applyFont="1" applyFill="1" applyBorder="1" applyAlignment="1">
      <alignment horizontal="center" vertical="center" wrapText="1"/>
    </xf>
    <xf numFmtId="169" fontId="6" fillId="0" borderId="12" xfId="50" applyNumberFormat="1" applyFont="1" applyFill="1" applyBorder="1" applyAlignment="1">
      <alignment horizontal="center" vertical="center" wrapText="1"/>
    </xf>
    <xf numFmtId="0" fontId="6" fillId="0" borderId="14" xfId="50" applyFont="1" applyFill="1" applyBorder="1" applyAlignment="1">
      <alignment horizontal="center" vertical="center" wrapText="1"/>
    </xf>
    <xf numFmtId="0" fontId="6" fillId="0" borderId="13" xfId="50" applyFont="1" applyFill="1" applyBorder="1" applyAlignment="1">
      <alignment horizontal="center" vertical="center" wrapText="1"/>
    </xf>
    <xf numFmtId="0" fontId="6" fillId="0" borderId="12"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 fillId="0" borderId="14" xfId="50" applyFont="1" applyFill="1" applyBorder="1" applyAlignment="1">
      <alignment horizontal="center" vertical="center"/>
    </xf>
    <xf numFmtId="0" fontId="6" fillId="0" borderId="13" xfId="50" applyFont="1" applyFill="1" applyBorder="1" applyAlignment="1">
      <alignment horizontal="center" vertical="center"/>
    </xf>
    <xf numFmtId="0" fontId="6" fillId="0" borderId="12" xfId="50" applyFont="1" applyFill="1" applyBorder="1" applyAlignment="1">
      <alignment horizontal="center" vertical="center"/>
    </xf>
    <xf numFmtId="0" fontId="6" fillId="0" borderId="10" xfId="50" applyFont="1" applyFill="1" applyBorder="1" applyAlignment="1">
      <alignment horizontal="center" vertical="center" wrapText="1"/>
    </xf>
    <xf numFmtId="49" fontId="10" fillId="0" borderId="14"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17" fontId="6" fillId="0" borderId="14" xfId="50" applyNumberFormat="1" applyFont="1" applyFill="1" applyBorder="1" applyAlignment="1">
      <alignment horizontal="center" vertical="center" wrapText="1"/>
    </xf>
    <xf numFmtId="0" fontId="6" fillId="0" borderId="11" xfId="50" applyFont="1" applyFill="1" applyBorder="1" applyAlignment="1">
      <alignment horizontal="center" vertical="center" wrapText="1"/>
    </xf>
    <xf numFmtId="0" fontId="6" fillId="0" borderId="16" xfId="50" applyFont="1" applyFill="1" applyBorder="1" applyAlignment="1">
      <alignment horizontal="center" vertical="center" wrapText="1"/>
    </xf>
    <xf numFmtId="0" fontId="6" fillId="0" borderId="15" xfId="50" applyFont="1" applyFill="1" applyBorder="1" applyAlignment="1">
      <alignment horizontal="center"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0" fontId="10" fillId="0" borderId="33" xfId="0" applyFont="1" applyFill="1" applyBorder="1" applyAlignment="1">
      <alignment horizontal="center" vertical="center" wrapText="1"/>
    </xf>
    <xf numFmtId="0" fontId="10" fillId="0" borderId="15" xfId="0" applyFont="1" applyFill="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6" Type="http://schemas.openxmlformats.org/officeDocument/2006/relationships/printerSettings" Target="../printerSettings/printerSettings9.bin"/><Relationship Id="rId5" Type="http://schemas.openxmlformats.org/officeDocument/2006/relationships/hyperlink" Target="http://www.b2b-center.ru/" TargetMode="External"/><Relationship Id="rId4"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B43" zoomScale="70" zoomScaleNormal="70" workbookViewId="0">
      <selection activeCell="C49" sqref="C49"/>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56" t="str">
        <f>'[1]6.2. отчет'!$B$2</f>
        <v>Год раскрытия информации: 2025 год</v>
      </c>
      <c r="B5" s="256"/>
      <c r="C5" s="256"/>
      <c r="D5" s="28"/>
      <c r="E5" s="28"/>
      <c r="F5" s="28"/>
      <c r="G5" s="28"/>
      <c r="H5" s="28"/>
      <c r="I5" s="28"/>
      <c r="J5" s="28"/>
    </row>
    <row r="6" spans="1:22" s="2" customFormat="1" ht="18.75" x14ac:dyDescent="0.3">
      <c r="A6" s="111"/>
      <c r="H6" s="33"/>
    </row>
    <row r="7" spans="1:22" s="2" customFormat="1" ht="18.75" x14ac:dyDescent="0.2">
      <c r="A7" s="260" t="s">
        <v>5</v>
      </c>
      <c r="B7" s="260"/>
      <c r="C7" s="260"/>
      <c r="D7" s="73"/>
      <c r="E7" s="73"/>
      <c r="F7" s="73"/>
      <c r="G7" s="73"/>
      <c r="H7" s="73"/>
      <c r="I7" s="73"/>
      <c r="J7" s="73"/>
      <c r="K7" s="73"/>
      <c r="L7" s="73"/>
      <c r="M7" s="73"/>
      <c r="N7" s="73"/>
      <c r="O7" s="73"/>
      <c r="P7" s="73"/>
      <c r="Q7" s="73"/>
      <c r="R7" s="73"/>
      <c r="S7" s="73"/>
      <c r="T7" s="73"/>
      <c r="U7" s="73"/>
      <c r="V7" s="73"/>
    </row>
    <row r="8" spans="1:22" s="2" customFormat="1" ht="18.75" x14ac:dyDescent="0.2">
      <c r="A8" s="112"/>
      <c r="B8" s="112"/>
      <c r="C8" s="112"/>
      <c r="D8" s="112"/>
      <c r="E8" s="112"/>
      <c r="F8" s="112"/>
      <c r="G8" s="112"/>
      <c r="H8" s="112"/>
      <c r="I8" s="73"/>
      <c r="J8" s="73"/>
      <c r="K8" s="73"/>
      <c r="L8" s="73"/>
      <c r="M8" s="73"/>
      <c r="N8" s="73"/>
      <c r="O8" s="73"/>
      <c r="P8" s="73"/>
      <c r="Q8" s="73"/>
      <c r="R8" s="73"/>
      <c r="S8" s="73"/>
      <c r="T8" s="73"/>
      <c r="U8" s="73"/>
      <c r="V8" s="73"/>
    </row>
    <row r="9" spans="1:22" s="2" customFormat="1" ht="18.75" x14ac:dyDescent="0.2">
      <c r="A9" s="261" t="s">
        <v>249</v>
      </c>
      <c r="B9" s="261"/>
      <c r="C9" s="261"/>
      <c r="D9" s="76"/>
      <c r="E9" s="76"/>
      <c r="F9" s="76"/>
      <c r="G9" s="76"/>
      <c r="H9" s="76"/>
      <c r="I9" s="73"/>
      <c r="J9" s="73"/>
      <c r="K9" s="73"/>
      <c r="L9" s="73"/>
      <c r="M9" s="73"/>
      <c r="N9" s="73"/>
      <c r="O9" s="73"/>
      <c r="P9" s="73"/>
      <c r="Q9" s="73"/>
      <c r="R9" s="73"/>
      <c r="S9" s="73"/>
      <c r="T9" s="73"/>
      <c r="U9" s="73"/>
      <c r="V9" s="73"/>
    </row>
    <row r="10" spans="1:22" s="2" customFormat="1" ht="18.75" x14ac:dyDescent="0.2">
      <c r="A10" s="262" t="s">
        <v>4</v>
      </c>
      <c r="B10" s="262"/>
      <c r="C10" s="262"/>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2"/>
      <c r="B11" s="112"/>
      <c r="C11" s="112"/>
      <c r="D11" s="112"/>
      <c r="E11" s="112"/>
      <c r="F11" s="112"/>
      <c r="G11" s="112"/>
      <c r="H11" s="112"/>
      <c r="I11" s="73"/>
      <c r="J11" s="73"/>
      <c r="K11" s="73"/>
      <c r="L11" s="73"/>
      <c r="M11" s="73"/>
      <c r="N11" s="73"/>
      <c r="O11" s="73"/>
      <c r="P11" s="73"/>
      <c r="Q11" s="73"/>
      <c r="R11" s="73"/>
      <c r="S11" s="73"/>
      <c r="T11" s="73"/>
      <c r="U11" s="73"/>
      <c r="V11" s="73"/>
    </row>
    <row r="12" spans="1:22" s="2" customFormat="1" ht="18.75" x14ac:dyDescent="0.2">
      <c r="A12" s="261" t="s">
        <v>455</v>
      </c>
      <c r="B12" s="261"/>
      <c r="C12" s="261"/>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62"/>
      <c r="B13" s="262"/>
      <c r="C13" s="262"/>
      <c r="D13" s="77"/>
      <c r="E13" s="77"/>
      <c r="F13" s="77"/>
      <c r="G13" s="77"/>
      <c r="H13" s="77"/>
      <c r="I13" s="73"/>
      <c r="J13" s="73"/>
      <c r="K13" s="73"/>
      <c r="L13" s="73"/>
      <c r="M13" s="73"/>
      <c r="N13" s="73"/>
      <c r="O13" s="73"/>
      <c r="P13" s="73"/>
      <c r="Q13" s="73"/>
      <c r="R13" s="73"/>
      <c r="S13" s="73"/>
      <c r="T13" s="73"/>
      <c r="U13" s="73"/>
      <c r="V13" s="73"/>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63" t="str">
        <f>VLOOKUP(A12,'[1]6.2. отчет'!$A:$C,3,0)</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1"/>
      <c r="C15" s="261"/>
      <c r="D15" s="76"/>
      <c r="E15" s="76"/>
      <c r="F15" s="76"/>
      <c r="G15" s="76"/>
      <c r="H15" s="76"/>
      <c r="I15" s="76"/>
      <c r="J15" s="76"/>
      <c r="K15" s="76"/>
      <c r="L15" s="76"/>
      <c r="M15" s="76"/>
      <c r="N15" s="76"/>
      <c r="O15" s="76"/>
      <c r="P15" s="76"/>
      <c r="Q15" s="76"/>
      <c r="R15" s="76"/>
      <c r="S15" s="76"/>
      <c r="T15" s="76"/>
      <c r="U15" s="76"/>
      <c r="V15" s="76"/>
    </row>
    <row r="16" spans="1:22" s="114" customFormat="1" ht="15" customHeight="1" x14ac:dyDescent="0.2">
      <c r="A16" s="257" t="s">
        <v>2</v>
      </c>
      <c r="B16" s="257"/>
      <c r="C16" s="257"/>
      <c r="D16" s="77"/>
      <c r="E16" s="77"/>
      <c r="F16" s="77"/>
      <c r="G16" s="77"/>
      <c r="H16" s="77"/>
      <c r="I16" s="77"/>
      <c r="J16" s="77"/>
      <c r="K16" s="77"/>
      <c r="L16" s="77"/>
      <c r="M16" s="77"/>
      <c r="N16" s="77"/>
      <c r="O16" s="77"/>
      <c r="P16" s="77"/>
      <c r="Q16" s="77"/>
      <c r="R16" s="77"/>
      <c r="S16" s="77"/>
      <c r="T16" s="77"/>
      <c r="U16" s="77"/>
      <c r="V16" s="77"/>
    </row>
    <row r="17" spans="1:22" s="114" customFormat="1" ht="15" customHeight="1" x14ac:dyDescent="0.2">
      <c r="A17" s="147"/>
      <c r="B17" s="147"/>
      <c r="C17" s="147"/>
      <c r="D17" s="115"/>
      <c r="E17" s="115"/>
      <c r="F17" s="115"/>
      <c r="G17" s="115"/>
      <c r="H17" s="115"/>
      <c r="I17" s="115"/>
      <c r="J17" s="115"/>
      <c r="K17" s="115"/>
      <c r="L17" s="115"/>
      <c r="M17" s="115"/>
      <c r="N17" s="115"/>
      <c r="O17" s="115"/>
      <c r="P17" s="115"/>
      <c r="Q17" s="115"/>
      <c r="R17" s="115"/>
      <c r="S17" s="115"/>
    </row>
    <row r="18" spans="1:22" s="114" customFormat="1" ht="15" customHeight="1" x14ac:dyDescent="0.2">
      <c r="A18" s="258" t="s">
        <v>242</v>
      </c>
      <c r="B18" s="259"/>
      <c r="C18" s="259"/>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8"/>
      <c r="B19" s="148"/>
      <c r="C19" s="148"/>
      <c r="D19" s="77"/>
      <c r="E19" s="77"/>
      <c r="F19" s="77"/>
      <c r="G19" s="77"/>
      <c r="H19" s="77"/>
      <c r="I19" s="115"/>
      <c r="J19" s="115"/>
      <c r="K19" s="115"/>
      <c r="L19" s="115"/>
      <c r="M19" s="115"/>
      <c r="N19" s="115"/>
      <c r="O19" s="115"/>
      <c r="P19" s="115"/>
      <c r="Q19" s="115"/>
      <c r="R19" s="115"/>
      <c r="S19" s="115"/>
    </row>
    <row r="20" spans="1:22" s="114" customFormat="1" ht="39.75" customHeight="1" x14ac:dyDescent="0.2">
      <c r="A20" s="124" t="s">
        <v>1</v>
      </c>
      <c r="B20" s="149" t="s">
        <v>20</v>
      </c>
      <c r="C20" s="150"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50">
        <v>1</v>
      </c>
      <c r="B21" s="149">
        <v>2</v>
      </c>
      <c r="C21" s="150">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1" t="s">
        <v>141</v>
      </c>
      <c r="C22" s="60" t="s">
        <v>527</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450</v>
      </c>
      <c r="C23" s="60" t="s">
        <v>528</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53"/>
      <c r="B24" s="254"/>
      <c r="C24" s="255"/>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4" t="s">
        <v>470</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4" t="s">
        <v>471</v>
      </c>
      <c r="D26" s="120"/>
      <c r="E26" s="120"/>
      <c r="F26" s="120"/>
      <c r="G26" s="120"/>
      <c r="H26" s="66"/>
      <c r="I26" s="66"/>
      <c r="J26" s="66"/>
      <c r="K26" s="66"/>
      <c r="L26" s="66"/>
      <c r="M26" s="66"/>
      <c r="N26" s="66"/>
      <c r="O26" s="66"/>
      <c r="P26" s="66"/>
      <c r="Q26" s="66"/>
      <c r="R26" s="66"/>
      <c r="S26" s="121"/>
      <c r="T26" s="121"/>
      <c r="U26" s="121"/>
      <c r="V26" s="121"/>
    </row>
    <row r="27" spans="1:22" s="114" customFormat="1" ht="51.75" customHeight="1" x14ac:dyDescent="0.2">
      <c r="A27" s="58" t="s">
        <v>13</v>
      </c>
      <c r="B27" s="60" t="s">
        <v>27</v>
      </c>
      <c r="C27" s="124" t="s">
        <v>472</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4"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4"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4"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4"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4"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4" t="s">
        <v>473</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4"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4"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4" t="s">
        <v>529</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4" t="s">
        <v>529</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4"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53"/>
      <c r="B39" s="254"/>
      <c r="C39" s="255"/>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448</v>
      </c>
      <c r="C40" s="124" t="s">
        <v>530</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4"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4" t="s">
        <v>474</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4"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4"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60">
        <v>0.11</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4" t="s">
        <v>475</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2">
        <f>'6.2. Паспорт фин осв ввод'!D24</f>
        <v>315.87242695999998</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2">
        <f>'6.2. Паспорт фин осв ввод'!D30</f>
        <v>266.81423232000003</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5" zoomScale="70" zoomScaleNormal="70" workbookViewId="0">
      <selection activeCell="E63" sqref="E63"/>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8.2851562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56" t="str">
        <f>'1. паспорт местоположение'!$A$5</f>
        <v>Год раскрытия информации: 2025 год</v>
      </c>
      <c r="B4" s="256"/>
      <c r="C4" s="256"/>
      <c r="D4" s="256"/>
      <c r="E4" s="256"/>
      <c r="F4" s="256"/>
    </row>
    <row r="6" spans="1:7" ht="18.75" x14ac:dyDescent="0.25">
      <c r="A6" s="260" t="s">
        <v>5</v>
      </c>
      <c r="B6" s="260"/>
      <c r="C6" s="260"/>
      <c r="D6" s="260"/>
      <c r="E6" s="260"/>
      <c r="F6" s="260"/>
    </row>
    <row r="7" spans="1:7" ht="18.75" x14ac:dyDescent="0.25">
      <c r="A7" s="73"/>
      <c r="B7" s="73"/>
      <c r="C7" s="73"/>
      <c r="D7" s="73"/>
      <c r="E7" s="73"/>
      <c r="F7" s="73"/>
    </row>
    <row r="8" spans="1:7" x14ac:dyDescent="0.25">
      <c r="A8" s="261" t="s">
        <v>249</v>
      </c>
      <c r="B8" s="261"/>
      <c r="C8" s="261"/>
      <c r="D8" s="261"/>
      <c r="E8" s="261"/>
      <c r="F8" s="261"/>
    </row>
    <row r="9" spans="1:7" ht="18.75" customHeight="1" x14ac:dyDescent="0.25">
      <c r="A9" s="262" t="s">
        <v>4</v>
      </c>
      <c r="B9" s="262"/>
      <c r="C9" s="262"/>
      <c r="D9" s="262"/>
      <c r="E9" s="262"/>
      <c r="F9" s="262"/>
    </row>
    <row r="10" spans="1:7" ht="18.75" x14ac:dyDescent="0.25">
      <c r="A10" s="73"/>
      <c r="B10" s="73"/>
      <c r="C10" s="73"/>
      <c r="D10" s="73"/>
      <c r="E10" s="73"/>
      <c r="F10" s="73"/>
    </row>
    <row r="11" spans="1:7" x14ac:dyDescent="0.25">
      <c r="A11" s="261" t="str">
        <f>'1. паспорт местоположение'!A12:C12</f>
        <v>K_Che303</v>
      </c>
      <c r="B11" s="261"/>
      <c r="C11" s="261"/>
      <c r="D11" s="261"/>
      <c r="E11" s="261"/>
      <c r="F11" s="261"/>
    </row>
    <row r="12" spans="1:7" x14ac:dyDescent="0.25">
      <c r="A12" s="262" t="s">
        <v>3</v>
      </c>
      <c r="B12" s="262"/>
      <c r="C12" s="262"/>
      <c r="D12" s="262"/>
      <c r="E12" s="262"/>
      <c r="F12" s="262"/>
    </row>
    <row r="13" spans="1:7" ht="16.5" customHeight="1" x14ac:dyDescent="0.25">
      <c r="A13" s="1"/>
      <c r="B13" s="1"/>
      <c r="C13" s="1"/>
      <c r="D13" s="1"/>
      <c r="E13" s="1"/>
      <c r="F13" s="1"/>
    </row>
    <row r="14" spans="1:7" ht="29.25" customHeight="1" x14ac:dyDescent="0.25">
      <c r="A14" s="26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63"/>
      <c r="C14" s="263"/>
      <c r="D14" s="263"/>
      <c r="E14" s="263"/>
      <c r="F14" s="263"/>
    </row>
    <row r="15" spans="1:7" ht="15.75" customHeight="1" x14ac:dyDescent="0.25">
      <c r="A15" s="262" t="s">
        <v>2</v>
      </c>
      <c r="B15" s="262"/>
      <c r="C15" s="262"/>
      <c r="D15" s="262"/>
      <c r="E15" s="262"/>
      <c r="F15" s="262"/>
    </row>
    <row r="16" spans="1:7" x14ac:dyDescent="0.25">
      <c r="A16" s="329"/>
      <c r="B16" s="329"/>
      <c r="C16" s="329"/>
      <c r="D16" s="329"/>
      <c r="E16" s="329"/>
      <c r="F16" s="329"/>
    </row>
    <row r="18" spans="1:14" x14ac:dyDescent="0.25">
      <c r="A18" s="330" t="s">
        <v>238</v>
      </c>
      <c r="B18" s="330"/>
      <c r="C18" s="330"/>
      <c r="D18" s="330"/>
      <c r="E18" s="330"/>
      <c r="F18" s="330"/>
    </row>
    <row r="20" spans="1:14" ht="33" customHeight="1" x14ac:dyDescent="0.25">
      <c r="A20" s="331" t="s">
        <v>95</v>
      </c>
      <c r="B20" s="331" t="s">
        <v>94</v>
      </c>
      <c r="C20" s="327" t="s">
        <v>93</v>
      </c>
      <c r="D20" s="328"/>
      <c r="E20" s="342" t="s">
        <v>92</v>
      </c>
      <c r="F20" s="343"/>
      <c r="G20" s="331" t="s">
        <v>525</v>
      </c>
      <c r="H20" s="339" t="s">
        <v>526</v>
      </c>
      <c r="I20" s="340"/>
      <c r="J20" s="340"/>
      <c r="K20" s="341"/>
    </row>
    <row r="21" spans="1:14" ht="99.75" customHeight="1" x14ac:dyDescent="0.25">
      <c r="A21" s="332"/>
      <c r="B21" s="332"/>
      <c r="C21" s="319"/>
      <c r="D21" s="320"/>
      <c r="E21" s="344"/>
      <c r="F21" s="345"/>
      <c r="G21" s="332"/>
      <c r="H21" s="337" t="s">
        <v>0</v>
      </c>
      <c r="I21" s="338"/>
      <c r="J21" s="337" t="s">
        <v>436</v>
      </c>
      <c r="K21" s="338"/>
    </row>
    <row r="22" spans="1:14" ht="89.25" customHeight="1" x14ac:dyDescent="0.25">
      <c r="A22" s="321"/>
      <c r="B22" s="321"/>
      <c r="C22" s="177" t="s">
        <v>0</v>
      </c>
      <c r="D22" s="177" t="s">
        <v>436</v>
      </c>
      <c r="E22" s="15" t="s">
        <v>523</v>
      </c>
      <c r="F22" s="15" t="s">
        <v>524</v>
      </c>
      <c r="G22" s="321"/>
      <c r="H22" s="14" t="s">
        <v>468</v>
      </c>
      <c r="I22" s="14" t="s">
        <v>469</v>
      </c>
      <c r="J22" s="14" t="s">
        <v>468</v>
      </c>
      <c r="K22" s="14" t="s">
        <v>469</v>
      </c>
    </row>
    <row r="23" spans="1:14" ht="19.5" customHeight="1" x14ac:dyDescent="0.25">
      <c r="A23" s="68">
        <v>1</v>
      </c>
      <c r="B23" s="68">
        <v>2</v>
      </c>
      <c r="C23" s="174">
        <v>3</v>
      </c>
      <c r="D23" s="174">
        <v>4</v>
      </c>
      <c r="E23" s="174">
        <v>5</v>
      </c>
      <c r="F23" s="174">
        <v>6</v>
      </c>
      <c r="G23" s="174">
        <v>7</v>
      </c>
      <c r="H23" s="174">
        <v>8</v>
      </c>
      <c r="I23" s="174">
        <v>9</v>
      </c>
      <c r="J23" s="174">
        <v>10</v>
      </c>
      <c r="K23" s="174">
        <v>11</v>
      </c>
    </row>
    <row r="24" spans="1:14" s="74" customFormat="1" ht="47.25" customHeight="1" x14ac:dyDescent="0.25">
      <c r="A24" s="12">
        <v>1</v>
      </c>
      <c r="B24" s="11" t="s">
        <v>91</v>
      </c>
      <c r="C24" s="51">
        <f>VLOOKUP($A$11,'[1]6.2. отчет'!$D:$K,2,0)</f>
        <v>340.40556399799999</v>
      </c>
      <c r="D24" s="51">
        <f>VLOOKUP($A$11,'[1]6.2. отчет'!$D:$K,5,0)</f>
        <v>315.87242695999998</v>
      </c>
      <c r="E24" s="51">
        <f>VLOOKUP($A$11,'[1]6.2. отчет'!$D:$K,7,0)</f>
        <v>89.668640197999991</v>
      </c>
      <c r="F24" s="51">
        <f>VLOOKUP($A$11,'[1]6.2. отчет'!$D:$K,8,0)</f>
        <v>89.319639997999985</v>
      </c>
      <c r="G24" s="51">
        <f>VLOOKUP($A$11,'[1]6.2. отчет'!$D:$BL,9,0)</f>
        <v>0.34900019999999998</v>
      </c>
      <c r="H24" s="51">
        <f>VLOOKUP($A$11,'[1]6.2. отчет'!$D:$BL,15,0)</f>
        <v>89.319639998</v>
      </c>
      <c r="I24" s="51">
        <f>VLOOKUP($A$11,'[1]6.2. отчет'!$D:$CU,45,0)</f>
        <v>26.739289368000001</v>
      </c>
      <c r="J24" s="51">
        <f>VLOOKUP($A$11,'[1]6.2. отчет'!$D:$BL,56,0)</f>
        <v>64.786502959999993</v>
      </c>
      <c r="K24" s="51">
        <f>VLOOKUP($A$11,'[1]6.2. отчет'!$D:$CU,86,0)</f>
        <v>2.2061523300000001</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251.08592399999998</v>
      </c>
      <c r="D27" s="51">
        <f>G27+J27+D24-(G24+J24)</f>
        <v>250.7369238</v>
      </c>
      <c r="E27" s="51">
        <f>F27+G27</f>
        <v>89.319639997999985</v>
      </c>
      <c r="F27" s="51">
        <f>F24-(F25+F26+F28+F29)</f>
        <v>89.319639997999985</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89.319639998</v>
      </c>
      <c r="D29" s="51">
        <f>G29+J29</f>
        <v>65.135503159999999</v>
      </c>
      <c r="E29" s="51">
        <f>F29+G29</f>
        <v>0.34900019999999998</v>
      </c>
      <c r="F29" s="51">
        <v>0</v>
      </c>
      <c r="G29" s="51">
        <f>VLOOKUP($A$11,'[1]6.2. отчет'!$D:$BL,14,0)</f>
        <v>0.34900019999999998</v>
      </c>
      <c r="H29" s="51">
        <f>VLOOKUP($A$11,'[1]6.2. отчет'!$D:$BL,20,0)</f>
        <v>89.319639998</v>
      </c>
      <c r="I29" s="51">
        <f>IF(H29=0,0,VLOOKUP($A$11,'[1]6.2. отчет'!$D:$CU,50,0))</f>
        <v>26.739289368000001</v>
      </c>
      <c r="J29" s="51">
        <f>VLOOKUP($A$11,'[1]6.2. отчет'!$D:$BL,61,0)</f>
        <v>64.786502959999993</v>
      </c>
      <c r="K29" s="51">
        <f>IF(J29=0,0,VLOOKUP($A$11,'[1]6.2. отчет'!$D:$CU,91,0))</f>
        <v>2.2061523300000001</v>
      </c>
    </row>
    <row r="30" spans="1:14" s="75" customFormat="1" ht="47.25" x14ac:dyDescent="0.25">
      <c r="A30" s="12" t="s">
        <v>17</v>
      </c>
      <c r="B30" s="11" t="s">
        <v>81</v>
      </c>
      <c r="C30" s="51">
        <f>VLOOKUP($A$11,'[1]6.2. отчет'!$D:$DB,99,0)</f>
        <v>283.67130333166699</v>
      </c>
      <c r="D30" s="51">
        <f>VLOOKUP($A$11,'[1]6.2. отчет'!$D:$FK,106,0)</f>
        <v>266.81423232000003</v>
      </c>
      <c r="E30" s="51">
        <f>VLOOKUP($A$11,'[1]6.2. отчет'!$D:$FK,108,0)</f>
        <v>277.854633331667</v>
      </c>
      <c r="F30" s="51">
        <f>VLOOKUP($A$11,'[1]6.2. отчет'!$D:$FK,109,0)</f>
        <v>49.555136721666997</v>
      </c>
      <c r="G30" s="51">
        <f>VLOOKUP($A$11,'[1]6.2. отчет'!$D:$FK,110,0)</f>
        <v>228.29949661000001</v>
      </c>
      <c r="H30" s="51">
        <f>VLOOKUP($A$11,'[1]6.2. отчет'!$D:$FK,115,0)</f>
        <v>49.555136721666997</v>
      </c>
      <c r="I30" s="51">
        <f>VLOOKUP($A$11,'[1]6.2. отчет'!$D:$AGP,124,0)</f>
        <v>19.581137541667001</v>
      </c>
      <c r="J30" s="51">
        <f>VLOOKUP($A$11,'[1]6.2. отчет'!$D:$FK,130,0)</f>
        <v>32.698065710000016</v>
      </c>
      <c r="K30" s="51">
        <f>VLOOKUP($A$11,'[1]6.2. отчет'!$D:$FK,155,0)</f>
        <v>2.724066530000016</v>
      </c>
      <c r="N30" s="228"/>
    </row>
    <row r="31" spans="1:14" x14ac:dyDescent="0.25">
      <c r="A31" s="12" t="s">
        <v>80</v>
      </c>
      <c r="B31" s="6" t="s">
        <v>79</v>
      </c>
      <c r="C31" s="51">
        <f>VLOOKUP($A$11,'[1]6.2. отчет'!$D:$DB,100,0)</f>
        <v>5.8166700000000002</v>
      </c>
      <c r="D31" s="51">
        <v>5.8166700000000002</v>
      </c>
      <c r="E31" s="51">
        <v>0</v>
      </c>
      <c r="F31" s="51">
        <v>0</v>
      </c>
      <c r="G31" s="51">
        <f>VLOOKUP($A$11,'[1]6.2. отчет'!$D:$FK,111,0)</f>
        <v>0</v>
      </c>
      <c r="H31" s="51">
        <v>0</v>
      </c>
      <c r="I31" s="51">
        <v>0</v>
      </c>
      <c r="J31" s="51">
        <v>0</v>
      </c>
      <c r="K31" s="51">
        <f>IF(J31=0,0,VLOOKUP($A$11,'[1]6.2. отчет'!$D:$FK,156,0))</f>
        <v>0</v>
      </c>
      <c r="N31" s="228"/>
    </row>
    <row r="32" spans="1:14" ht="31.5" x14ac:dyDescent="0.25">
      <c r="A32" s="12" t="s">
        <v>78</v>
      </c>
      <c r="B32" s="6" t="s">
        <v>77</v>
      </c>
      <c r="C32" s="51">
        <f>VLOOKUP($A$11,'[1]6.2. отчет'!$D:$DB,101,0)</f>
        <v>21.068433333333335</v>
      </c>
      <c r="D32" s="51">
        <f t="shared" ref="D32:D34" si="0">G32+J32</f>
        <v>19.34936841</v>
      </c>
      <c r="E32" s="51">
        <f>F32+G32</f>
        <v>21.068433333333335</v>
      </c>
      <c r="F32" s="51">
        <f t="shared" ref="F32:F34" si="1">C32-G32</f>
        <v>2.3309841733333343</v>
      </c>
      <c r="G32" s="51">
        <f>VLOOKUP($A$11,'[1]6.2. отчет'!$D:$FK,112,0)</f>
        <v>18.737449160000001</v>
      </c>
      <c r="H32" s="51">
        <v>11.031017383333335</v>
      </c>
      <c r="I32" s="51">
        <v>10.419098133333335</v>
      </c>
      <c r="J32" s="51">
        <f>VLOOKUP($A$11,'[1]6.2. отчет'!$D:$FK,132,0)</f>
        <v>0.61191925000000003</v>
      </c>
      <c r="K32" s="51">
        <f>IF(J32=0,0,VLOOKUP($A$11,'[1]6.2. отчет'!$D:$FK,157,0))</f>
        <v>0</v>
      </c>
      <c r="N32" s="228"/>
    </row>
    <row r="33" spans="1:14" x14ac:dyDescent="0.25">
      <c r="A33" s="12" t="s">
        <v>76</v>
      </c>
      <c r="B33" s="6" t="s">
        <v>75</v>
      </c>
      <c r="C33" s="51">
        <f>VLOOKUP($A$11,'[1]6.2. отчет'!$D:$DB,102,0)</f>
        <v>203.42160000000001</v>
      </c>
      <c r="D33" s="51">
        <f t="shared" si="0"/>
        <v>203.42160000999999</v>
      </c>
      <c r="E33" s="51">
        <f t="shared" ref="E33:E57" si="2">F33+G33</f>
        <v>203.42160000000001</v>
      </c>
      <c r="F33" s="51">
        <f t="shared" si="1"/>
        <v>-9.9999795111216372E-9</v>
      </c>
      <c r="G33" s="51">
        <f>VLOOKUP($A$11,'[1]6.2. отчет'!$D:$FK,113,0)</f>
        <v>203.42160000999999</v>
      </c>
      <c r="H33" s="51">
        <v>0</v>
      </c>
      <c r="I33" s="51">
        <v>0</v>
      </c>
      <c r="J33" s="51">
        <f>VLOOKUP($A$11,'[1]6.2. отчет'!$D:$FK,133,0)</f>
        <v>0</v>
      </c>
      <c r="K33" s="51">
        <f>IF(J33=0,0,VLOOKUP($A$11,'[1]6.2. отчет'!$D:$FK,158,0))</f>
        <v>0</v>
      </c>
      <c r="N33" s="228"/>
    </row>
    <row r="34" spans="1:14" x14ac:dyDescent="0.25">
      <c r="A34" s="12" t="s">
        <v>74</v>
      </c>
      <c r="B34" s="6" t="s">
        <v>73</v>
      </c>
      <c r="C34" s="51">
        <f>VLOOKUP($A$11,'[1]6.2. отчет'!$D:$DB,103,0)</f>
        <v>53.364599998333645</v>
      </c>
      <c r="D34" s="51">
        <f t="shared" si="0"/>
        <v>38.226593900000019</v>
      </c>
      <c r="E34" s="51">
        <f t="shared" si="2"/>
        <v>53.364599998333645</v>
      </c>
      <c r="F34" s="51">
        <f t="shared" si="1"/>
        <v>47.224152558333643</v>
      </c>
      <c r="G34" s="51">
        <f>VLOOKUP($A$11,'[1]6.2. отчет'!$D:$FK,114,0)</f>
        <v>6.1404474400000026</v>
      </c>
      <c r="H34" s="51">
        <v>38.524119338333662</v>
      </c>
      <c r="I34" s="51">
        <v>9.162039408333662</v>
      </c>
      <c r="J34" s="51">
        <f>VLOOKUP($A$11,'[1]6.2. отчет'!$D:$FK,134,0)</f>
        <v>32.086146460000016</v>
      </c>
      <c r="K34" s="51">
        <f>IF(J34=0,0,VLOOKUP($A$11,'[1]6.2. отчет'!$D:$FK,159,0))</f>
        <v>2.724066530000016</v>
      </c>
      <c r="N34" s="228"/>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37">
        <v>0</v>
      </c>
      <c r="E36" s="51">
        <f t="shared" si="2"/>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4</v>
      </c>
      <c r="D37" s="237">
        <f>VLOOKUP($A$11,'[1]6.2. отчет'!$D:$OZ,410,0)</f>
        <v>4</v>
      </c>
      <c r="E37" s="51">
        <f t="shared" si="2"/>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4</v>
      </c>
      <c r="I37" s="51">
        <f>IF('1. паспорт местоположение'!$C$22="Прочие инвестиционные проекты",0,VLOOKUP($A$11,'[1]6.2. отчет'!$D:$AGO,247,0))</f>
        <v>4</v>
      </c>
      <c r="J37" s="51">
        <f>IF('1. паспорт местоположение'!$C$22="Прочие инвестиционные проекты",0,VLOOKUP($A$11,'[1]6.2. отчет'!$D:$AGO,258,0))</f>
        <v>4</v>
      </c>
      <c r="K37" s="51">
        <f>IF('1. паспорт местоположение'!$C$22="Прочие инвестиционные проекты",0,VLOOKUP($A$11,'[1]6.2. отчет'!$D:$AGO,313,0))</f>
        <v>4</v>
      </c>
    </row>
    <row r="38" spans="1:14" x14ac:dyDescent="0.25">
      <c r="A38" s="10" t="s">
        <v>68</v>
      </c>
      <c r="B38" s="56" t="s">
        <v>57</v>
      </c>
      <c r="C38" s="51">
        <f>IF('1. паспорт местоположение'!$C$22="Прочие инвестиционные проекты",0,VLOOKUP($A$11,'[1]6.2. отчет'!$D:$FX,170,0))</f>
        <v>0</v>
      </c>
      <c r="D38" s="237">
        <f>VLOOKUP($A$11,'[1]6.2. отчет'!$D:$OZ,411,0)</f>
        <v>0</v>
      </c>
      <c r="E38" s="51">
        <f t="shared" si="2"/>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37">
        <f>VLOOKUP($A$11,'[1]6.2. отчет'!$D:$OZ,409,0)</f>
        <v>0</v>
      </c>
      <c r="E39" s="51">
        <f t="shared" si="2"/>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37">
        <v>0</v>
      </c>
      <c r="E40" s="51">
        <f t="shared" si="2"/>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37">
        <v>0</v>
      </c>
      <c r="E41" s="51">
        <f t="shared" si="2"/>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37">
        <f>VLOOKUP($A$11,'[1]6.2. отчет'!$D:$OZ,412,0)</f>
        <v>0</v>
      </c>
      <c r="E42" s="51">
        <f t="shared" si="2"/>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37"/>
      <c r="E43" s="51"/>
      <c r="F43" s="51"/>
      <c r="G43" s="51"/>
      <c r="H43" s="51"/>
      <c r="I43" s="50"/>
      <c r="J43" s="51"/>
      <c r="K43" s="50"/>
    </row>
    <row r="44" spans="1:14" x14ac:dyDescent="0.25">
      <c r="A44" s="10" t="s">
        <v>62</v>
      </c>
      <c r="B44" s="6" t="s">
        <v>61</v>
      </c>
      <c r="C44" s="51">
        <f>VLOOKUP($A$11,'[1]6.2. отчет'!$D:$FX,168,0)</f>
        <v>0</v>
      </c>
      <c r="D44" s="237">
        <v>0</v>
      </c>
      <c r="E44" s="51">
        <f t="shared" si="2"/>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4</v>
      </c>
      <c r="D45" s="237">
        <f>VLOOKUP($A$11,'[1]6.2. отчет'!$D:$OZ,410,0)</f>
        <v>4</v>
      </c>
      <c r="E45" s="51">
        <f t="shared" si="2"/>
        <v>4</v>
      </c>
      <c r="F45" s="51">
        <f t="shared" ref="F45:F50" si="3">J45</f>
        <v>4</v>
      </c>
      <c r="G45" s="51">
        <f>VLOOKUP($A$11,'[1]6.2. отчет'!$D:$GJ,181,0)</f>
        <v>0</v>
      </c>
      <c r="H45" s="51">
        <f>VLOOKUP($A$11,'[1]6.2. отчет'!$D:$AGO,192,0)</f>
        <v>4</v>
      </c>
      <c r="I45" s="51">
        <f>VLOOKUP($A$11,'[1]6.2. отчет'!$D:$AGO,247,0)</f>
        <v>4</v>
      </c>
      <c r="J45" s="51">
        <f>VLOOKUP($A$11,'[1]6.2. отчет'!$D:$AGO,258,0)</f>
        <v>4</v>
      </c>
      <c r="K45" s="51">
        <f>VLOOKUP($A$11,'[1]6.2. отчет'!$D:$AGO,313,0)</f>
        <v>4</v>
      </c>
    </row>
    <row r="46" spans="1:14" x14ac:dyDescent="0.25">
      <c r="A46" s="10" t="s">
        <v>58</v>
      </c>
      <c r="B46" s="6" t="s">
        <v>57</v>
      </c>
      <c r="C46" s="51">
        <f>VLOOKUP($A$11,'[1]6.2. отчет'!$D:$FX,170,0)</f>
        <v>0</v>
      </c>
      <c r="D46" s="237">
        <f>VLOOKUP($A$11,'[1]6.2. отчет'!$D:$OZ,411,0)</f>
        <v>0</v>
      </c>
      <c r="E46" s="51">
        <f t="shared" si="2"/>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37">
        <f>VLOOKUP($A$11,'[1]6.2. отчет'!$D:$OZ,409,0)</f>
        <v>0</v>
      </c>
      <c r="E47" s="51">
        <f t="shared" si="2"/>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37">
        <v>0</v>
      </c>
      <c r="E48" s="51">
        <f t="shared" si="2"/>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37">
        <v>0</v>
      </c>
      <c r="E49" s="51">
        <f t="shared" si="2"/>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237">
        <f>VLOOKUP($A$11,'[1]6.2. отчет'!$D:$OZ,412,0)</f>
        <v>0</v>
      </c>
      <c r="E50" s="51">
        <f t="shared" si="2"/>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37"/>
      <c r="E51" s="51"/>
      <c r="F51" s="51"/>
      <c r="G51" s="51"/>
      <c r="H51" s="51"/>
      <c r="I51" s="50"/>
      <c r="J51" s="51"/>
      <c r="K51" s="50"/>
    </row>
    <row r="52" spans="1:11" x14ac:dyDescent="0.25">
      <c r="A52" s="10" t="s">
        <v>48</v>
      </c>
      <c r="B52" s="6" t="s">
        <v>47</v>
      </c>
      <c r="C52" s="51">
        <f>VLOOKUP($A$11,'[1]6.2. отчет'!$D:$FX,167,0)</f>
        <v>283.67130333166699</v>
      </c>
      <c r="D52" s="237">
        <f>VLOOKUP($A$11,'[1]6.2. отчет'!$D:$OZ,413,0)</f>
        <v>266.81423231999997</v>
      </c>
      <c r="E52" s="51">
        <f t="shared" si="2"/>
        <v>266.81423231999997</v>
      </c>
      <c r="F52" s="51">
        <f>J52</f>
        <v>266.81423231999997</v>
      </c>
      <c r="G52" s="51">
        <f>VLOOKUP($A$11,'[1]6.2. отчет'!$D:$GJ,179,0)</f>
        <v>0</v>
      </c>
      <c r="H52" s="51">
        <f>VLOOKUP($A$11,'[1]6.2. отчет'!$D:$AGO,190,0)</f>
        <v>283.67130333166699</v>
      </c>
      <c r="I52" s="51">
        <f>VLOOKUP($A$11,'[1]6.2. отчет'!$D:$AGO,245,0)</f>
        <v>283.67130333166699</v>
      </c>
      <c r="J52" s="51">
        <f>VLOOKUP($A$11,'[1]6.2. отчет'!$D:$AGO,256,0)</f>
        <v>266.81423231999997</v>
      </c>
      <c r="K52" s="51">
        <f>VLOOKUP($A$11,'[1]6.2. отчет'!$D:$AGO,311,0)</f>
        <v>266.81423231999997</v>
      </c>
    </row>
    <row r="53" spans="1:11" x14ac:dyDescent="0.25">
      <c r="A53" s="10" t="s">
        <v>46</v>
      </c>
      <c r="B53" s="6" t="s">
        <v>40</v>
      </c>
      <c r="C53" s="51">
        <f>VLOOKUP($A$11,'[1]6.2. отчет'!$D:$FX,168,0)</f>
        <v>0</v>
      </c>
      <c r="D53" s="237">
        <v>0</v>
      </c>
      <c r="E53" s="51">
        <f t="shared" si="2"/>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4</v>
      </c>
      <c r="D54" s="237">
        <f>VLOOKUP($A$11,'[1]6.2. отчет'!$D:$OZ,410,0)</f>
        <v>4</v>
      </c>
      <c r="E54" s="51">
        <f t="shared" si="2"/>
        <v>4</v>
      </c>
      <c r="F54" s="51">
        <f t="shared" si="4"/>
        <v>4</v>
      </c>
      <c r="G54" s="51">
        <f>VLOOKUP($A$11,'[1]6.2. отчет'!$D:$GJ,181,0)</f>
        <v>0</v>
      </c>
      <c r="H54" s="51">
        <f>VLOOKUP($A$11,'[1]6.2. отчет'!$D:$AGO,192,0)</f>
        <v>4</v>
      </c>
      <c r="I54" s="51">
        <f>VLOOKUP($A$11,'[1]6.2. отчет'!$D:$AGO,247,0)</f>
        <v>4</v>
      </c>
      <c r="J54" s="51">
        <f>VLOOKUP($A$11,'[1]6.2. отчет'!$D:$AGO,258,0)</f>
        <v>4</v>
      </c>
      <c r="K54" s="51">
        <f>VLOOKUP($A$11,'[1]6.2. отчет'!$D:$AGO,313,0)</f>
        <v>4</v>
      </c>
    </row>
    <row r="55" spans="1:11" x14ac:dyDescent="0.25">
      <c r="A55" s="10" t="s">
        <v>44</v>
      </c>
      <c r="B55" s="56" t="s">
        <v>38</v>
      </c>
      <c r="C55" s="51">
        <f>VLOOKUP($A$11,'[1]6.2. отчет'!$D:$FX,170,0)</f>
        <v>0</v>
      </c>
      <c r="D55" s="237">
        <f>VLOOKUP($A$11,'[1]6.2. отчет'!$D:$OZ,411,0)</f>
        <v>0</v>
      </c>
      <c r="E55" s="51">
        <f t="shared" si="2"/>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37">
        <f>VLOOKUP($A$11,'[1]6.2. отчет'!$D:$OZ,409,0)</f>
        <v>0</v>
      </c>
      <c r="E56" s="51">
        <f t="shared" si="2"/>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237">
        <f>VLOOKUP($A$11,'[1]6.2. отчет'!$D:$OZ,412,0)</f>
        <v>0</v>
      </c>
      <c r="E57" s="51">
        <f t="shared" si="2"/>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5">G60+J60</f>
        <v>0</v>
      </c>
      <c r="E60" s="51">
        <f>F60+G60</f>
        <v>0</v>
      </c>
      <c r="F60" s="51">
        <f t="shared" ref="F60:F64" si="6">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0</v>
      </c>
      <c r="D61" s="51">
        <f t="shared" si="5"/>
        <v>0</v>
      </c>
      <c r="E61" s="51">
        <f>F61+G61</f>
        <v>0</v>
      </c>
      <c r="F61" s="51">
        <f t="shared" si="6"/>
        <v>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5"/>
        <v>0</v>
      </c>
      <c r="E62" s="51">
        <f>F62+G62</f>
        <v>0</v>
      </c>
      <c r="F62" s="51">
        <f t="shared" si="6"/>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5"/>
        <v>0</v>
      </c>
      <c r="E63" s="51">
        <f>F63+G63</f>
        <v>0</v>
      </c>
      <c r="F63" s="51">
        <f t="shared" si="6"/>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6"/>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35"/>
      <c r="C66" s="335"/>
      <c r="D66" s="335"/>
      <c r="E66" s="335"/>
      <c r="F66" s="335"/>
    </row>
    <row r="68" spans="2:6" ht="36.75" customHeight="1" x14ac:dyDescent="0.25">
      <c r="B68" s="336"/>
      <c r="C68" s="336"/>
      <c r="D68" s="336"/>
      <c r="E68" s="336"/>
      <c r="F68" s="336"/>
    </row>
    <row r="69" spans="2:6" x14ac:dyDescent="0.25">
      <c r="B69" s="9"/>
      <c r="C69" s="9"/>
      <c r="D69" s="9"/>
      <c r="E69" s="9"/>
      <c r="F69" s="9"/>
    </row>
    <row r="70" spans="2:6" ht="51" customHeight="1" x14ac:dyDescent="0.25">
      <c r="B70" s="336"/>
      <c r="C70" s="336"/>
      <c r="D70" s="336"/>
      <c r="E70" s="336"/>
      <c r="F70" s="336"/>
    </row>
    <row r="71" spans="2:6" ht="32.25" customHeight="1" x14ac:dyDescent="0.25">
      <c r="B71" s="335"/>
      <c r="C71" s="335"/>
      <c r="D71" s="335"/>
      <c r="E71" s="335"/>
      <c r="F71" s="335"/>
    </row>
    <row r="72" spans="2:6" ht="51.75" customHeight="1" x14ac:dyDescent="0.25">
      <c r="B72" s="336"/>
      <c r="C72" s="336"/>
      <c r="D72" s="336"/>
      <c r="E72" s="336"/>
      <c r="F72" s="336"/>
    </row>
    <row r="73" spans="2:6" ht="21.75" customHeight="1" x14ac:dyDescent="0.25">
      <c r="B73" s="333"/>
      <c r="C73" s="333"/>
      <c r="D73" s="333"/>
      <c r="E73" s="333"/>
      <c r="F73" s="333"/>
    </row>
    <row r="74" spans="2:6" ht="23.25" customHeight="1" x14ac:dyDescent="0.25">
      <c r="B74" s="8"/>
      <c r="C74" s="8"/>
      <c r="D74" s="8"/>
      <c r="E74" s="8"/>
      <c r="F74" s="8"/>
    </row>
    <row r="75" spans="2:6" ht="18.75" customHeight="1" x14ac:dyDescent="0.25">
      <c r="B75" s="334"/>
      <c r="C75" s="334"/>
      <c r="D75" s="334"/>
      <c r="E75" s="334"/>
      <c r="F75" s="334"/>
    </row>
  </sheetData>
  <mergeCells count="25">
    <mergeCell ref="H21:I21"/>
    <mergeCell ref="J21:K21"/>
    <mergeCell ref="H20:K20"/>
    <mergeCell ref="G20:G22"/>
    <mergeCell ref="E20:F21"/>
    <mergeCell ref="B73:F73"/>
    <mergeCell ref="B75:F75"/>
    <mergeCell ref="B66:F66"/>
    <mergeCell ref="B68:F68"/>
    <mergeCell ref="B70:F70"/>
    <mergeCell ref="B71:F71"/>
    <mergeCell ref="B72:F72"/>
    <mergeCell ref="A14:F14"/>
    <mergeCell ref="C20:D21"/>
    <mergeCell ref="A4:F4"/>
    <mergeCell ref="A12:F12"/>
    <mergeCell ref="A9:F9"/>
    <mergeCell ref="A11:F11"/>
    <mergeCell ref="A8:F8"/>
    <mergeCell ref="A6:F6"/>
    <mergeCell ref="A16:F16"/>
    <mergeCell ref="A15:F15"/>
    <mergeCell ref="A18:F18"/>
    <mergeCell ref="A20:A22"/>
    <mergeCell ref="B20:B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2"/>
  <sheetViews>
    <sheetView tabSelected="1" topLeftCell="A18" zoomScale="55" zoomScaleNormal="55" workbookViewId="0">
      <selection activeCell="N33" sqref="N33"/>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21.28515625" style="48" customWidth="1"/>
    <col min="14" max="14" width="22.28515625" style="48" customWidth="1"/>
    <col min="15" max="15" width="30.4257812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34.28515625" style="48" customWidth="1"/>
    <col min="24" max="24" width="16.7109375" style="48" customWidth="1"/>
    <col min="25" max="25" width="21.85546875" style="48" customWidth="1"/>
    <col min="26" max="26" width="7.7109375" style="48" customWidth="1"/>
    <col min="27" max="27" width="10.7109375" style="48" customWidth="1"/>
    <col min="28" max="28" width="17.140625" style="48" customWidth="1"/>
    <col min="29" max="29" width="22.140625" style="48" customWidth="1"/>
    <col min="30" max="30" width="15.140625" style="48" customWidth="1"/>
    <col min="31" max="31" width="15.85546875" style="48" customWidth="1"/>
    <col min="32" max="32" width="18.42578125" style="48" customWidth="1"/>
    <col min="33" max="33" width="11.5703125" style="48" customWidth="1"/>
    <col min="34" max="35" width="13.5703125" style="48" customWidth="1"/>
    <col min="36" max="36" width="17.42578125" style="48" customWidth="1"/>
    <col min="37" max="37" width="19" style="48" customWidth="1"/>
    <col min="38" max="38" width="12.28515625" style="48" customWidth="1"/>
    <col min="39" max="41" width="9.7109375" style="48" customWidth="1"/>
    <col min="42" max="42" width="17.140625" style="48" customWidth="1"/>
    <col min="43" max="43" width="18" style="48" customWidth="1"/>
    <col min="44" max="44" width="14.140625" style="48" customWidth="1"/>
    <col min="45" max="46" width="13.28515625" style="48" customWidth="1"/>
    <col min="47" max="47" width="10.7109375" style="48" customWidth="1"/>
    <col min="48" max="48" width="71.85546875" style="48" customWidth="1"/>
    <col min="49" max="49" width="56.140625" style="48" customWidth="1"/>
    <col min="50"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56" t="str">
        <f>'1. паспорт местоположение'!$A$5</f>
        <v>Год раскрытия информации: 2025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65" t="s">
        <v>5</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8.75" x14ac:dyDescent="0.25">
      <c r="A9" s="351" t="s">
        <v>249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2" t="s">
        <v>4</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8.75" x14ac:dyDescent="0.25">
      <c r="A12" s="351" t="str">
        <f>'1. паспорт местоположение'!A12:C12</f>
        <v>K_Che303</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2" t="s">
        <v>3</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ht="15.75" x14ac:dyDescent="0.25">
      <c r="A15" s="3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2" t="s">
        <v>2</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9"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9"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9"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9"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9" x14ac:dyDescent="0.25">
      <c r="A21" s="356" t="s">
        <v>400</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9" ht="58.5" customHeight="1" x14ac:dyDescent="0.25">
      <c r="A22" s="347" t="s">
        <v>401</v>
      </c>
      <c r="B22" s="359" t="s">
        <v>402</v>
      </c>
      <c r="C22" s="347" t="s">
        <v>403</v>
      </c>
      <c r="D22" s="347" t="s">
        <v>404</v>
      </c>
      <c r="E22" s="366" t="s">
        <v>405</v>
      </c>
      <c r="F22" s="367"/>
      <c r="G22" s="367"/>
      <c r="H22" s="367"/>
      <c r="I22" s="367"/>
      <c r="J22" s="367"/>
      <c r="K22" s="367"/>
      <c r="L22" s="368"/>
      <c r="M22" s="347" t="s">
        <v>406</v>
      </c>
      <c r="N22" s="347" t="s">
        <v>407</v>
      </c>
      <c r="O22" s="347" t="s">
        <v>408</v>
      </c>
      <c r="P22" s="346" t="s">
        <v>409</v>
      </c>
      <c r="Q22" s="346" t="s">
        <v>410</v>
      </c>
      <c r="R22" s="346" t="s">
        <v>411</v>
      </c>
      <c r="S22" s="346" t="s">
        <v>412</v>
      </c>
      <c r="T22" s="346"/>
      <c r="U22" s="373" t="s">
        <v>413</v>
      </c>
      <c r="V22" s="373" t="s">
        <v>414</v>
      </c>
      <c r="W22" s="346" t="s">
        <v>415</v>
      </c>
      <c r="X22" s="346" t="s">
        <v>416</v>
      </c>
      <c r="Y22" s="346" t="s">
        <v>417</v>
      </c>
      <c r="Z22" s="374" t="s">
        <v>418</v>
      </c>
      <c r="AA22" s="346" t="s">
        <v>419</v>
      </c>
      <c r="AB22" s="346" t="s">
        <v>420</v>
      </c>
      <c r="AC22" s="346" t="s">
        <v>421</v>
      </c>
      <c r="AD22" s="346" t="s">
        <v>422</v>
      </c>
      <c r="AE22" s="346" t="s">
        <v>423</v>
      </c>
      <c r="AF22" s="346" t="s">
        <v>424</v>
      </c>
      <c r="AG22" s="346"/>
      <c r="AH22" s="346"/>
      <c r="AI22" s="346"/>
      <c r="AJ22" s="346"/>
      <c r="AK22" s="346"/>
      <c r="AL22" s="346" t="s">
        <v>425</v>
      </c>
      <c r="AM22" s="346"/>
      <c r="AN22" s="346"/>
      <c r="AO22" s="346"/>
      <c r="AP22" s="346" t="s">
        <v>426</v>
      </c>
      <c r="AQ22" s="346"/>
      <c r="AR22" s="346" t="s">
        <v>427</v>
      </c>
      <c r="AS22" s="346" t="s">
        <v>428</v>
      </c>
      <c r="AT22" s="346" t="s">
        <v>429</v>
      </c>
      <c r="AU22" s="346" t="s">
        <v>430</v>
      </c>
      <c r="AV22" s="357" t="s">
        <v>431</v>
      </c>
    </row>
    <row r="23" spans="1:49" ht="64.5" customHeight="1" x14ac:dyDescent="0.25">
      <c r="A23" s="362"/>
      <c r="B23" s="360"/>
      <c r="C23" s="362"/>
      <c r="D23" s="362"/>
      <c r="E23" s="369" t="s">
        <v>432</v>
      </c>
      <c r="F23" s="371" t="s">
        <v>40</v>
      </c>
      <c r="G23" s="371" t="s">
        <v>39</v>
      </c>
      <c r="H23" s="371" t="s">
        <v>38</v>
      </c>
      <c r="I23" s="381" t="s">
        <v>433</v>
      </c>
      <c r="J23" s="381" t="s">
        <v>434</v>
      </c>
      <c r="K23" s="381" t="s">
        <v>435</v>
      </c>
      <c r="L23" s="371" t="s">
        <v>393</v>
      </c>
      <c r="M23" s="362"/>
      <c r="N23" s="362"/>
      <c r="O23" s="362"/>
      <c r="P23" s="346"/>
      <c r="Q23" s="346"/>
      <c r="R23" s="346"/>
      <c r="S23" s="363" t="s">
        <v>0</v>
      </c>
      <c r="T23" s="363" t="s">
        <v>436</v>
      </c>
      <c r="U23" s="373"/>
      <c r="V23" s="373"/>
      <c r="W23" s="346"/>
      <c r="X23" s="346"/>
      <c r="Y23" s="346"/>
      <c r="Z23" s="346"/>
      <c r="AA23" s="346"/>
      <c r="AB23" s="346"/>
      <c r="AC23" s="346"/>
      <c r="AD23" s="346"/>
      <c r="AE23" s="346"/>
      <c r="AF23" s="346" t="s">
        <v>437</v>
      </c>
      <c r="AG23" s="346"/>
      <c r="AH23" s="346" t="s">
        <v>438</v>
      </c>
      <c r="AI23" s="346"/>
      <c r="AJ23" s="347" t="s">
        <v>439</v>
      </c>
      <c r="AK23" s="347" t="s">
        <v>440</v>
      </c>
      <c r="AL23" s="347" t="s">
        <v>441</v>
      </c>
      <c r="AM23" s="347" t="s">
        <v>442</v>
      </c>
      <c r="AN23" s="347" t="s">
        <v>443</v>
      </c>
      <c r="AO23" s="347" t="s">
        <v>444</v>
      </c>
      <c r="AP23" s="347" t="s">
        <v>445</v>
      </c>
      <c r="AQ23" s="349" t="s">
        <v>436</v>
      </c>
      <c r="AR23" s="346"/>
      <c r="AS23" s="346"/>
      <c r="AT23" s="346"/>
      <c r="AU23" s="346"/>
      <c r="AV23" s="358"/>
    </row>
    <row r="24" spans="1:49" ht="96.75" customHeight="1" x14ac:dyDescent="0.25">
      <c r="A24" s="348"/>
      <c r="B24" s="361"/>
      <c r="C24" s="348"/>
      <c r="D24" s="348"/>
      <c r="E24" s="370"/>
      <c r="F24" s="372"/>
      <c r="G24" s="372"/>
      <c r="H24" s="372"/>
      <c r="I24" s="382"/>
      <c r="J24" s="382"/>
      <c r="K24" s="382"/>
      <c r="L24" s="372"/>
      <c r="M24" s="348"/>
      <c r="N24" s="348"/>
      <c r="O24" s="348"/>
      <c r="P24" s="346"/>
      <c r="Q24" s="346"/>
      <c r="R24" s="346"/>
      <c r="S24" s="364"/>
      <c r="T24" s="364"/>
      <c r="U24" s="373"/>
      <c r="V24" s="373"/>
      <c r="W24" s="346"/>
      <c r="X24" s="346"/>
      <c r="Y24" s="346"/>
      <c r="Z24" s="346"/>
      <c r="AA24" s="346"/>
      <c r="AB24" s="346"/>
      <c r="AC24" s="346"/>
      <c r="AD24" s="346"/>
      <c r="AE24" s="346"/>
      <c r="AF24" s="71" t="s">
        <v>446</v>
      </c>
      <c r="AG24" s="71" t="s">
        <v>447</v>
      </c>
      <c r="AH24" s="49" t="s">
        <v>0</v>
      </c>
      <c r="AI24" s="49" t="s">
        <v>436</v>
      </c>
      <c r="AJ24" s="348"/>
      <c r="AK24" s="348"/>
      <c r="AL24" s="348"/>
      <c r="AM24" s="348"/>
      <c r="AN24" s="348"/>
      <c r="AO24" s="348"/>
      <c r="AP24" s="348"/>
      <c r="AQ24" s="350"/>
      <c r="AR24" s="346"/>
      <c r="AS24" s="346"/>
      <c r="AT24" s="346"/>
      <c r="AU24" s="346"/>
      <c r="AV24" s="358"/>
    </row>
    <row r="25" spans="1:49"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9" ht="105.75" customHeight="1" x14ac:dyDescent="0.25">
      <c r="A26" s="226">
        <v>1</v>
      </c>
      <c r="B26" s="387" t="s">
        <v>249</v>
      </c>
      <c r="C26" s="378" t="s">
        <v>522</v>
      </c>
      <c r="D26" s="390">
        <v>45627</v>
      </c>
      <c r="E26" s="378">
        <v>0</v>
      </c>
      <c r="F26" s="378">
        <v>0</v>
      </c>
      <c r="G26" s="375">
        <v>4</v>
      </c>
      <c r="H26" s="378">
        <v>0</v>
      </c>
      <c r="I26" s="378">
        <v>0</v>
      </c>
      <c r="J26" s="378">
        <v>0</v>
      </c>
      <c r="K26" s="378">
        <v>0</v>
      </c>
      <c r="L26" s="378">
        <v>0</v>
      </c>
      <c r="M26" s="182" t="s">
        <v>457</v>
      </c>
      <c r="N26" s="199" t="s">
        <v>457</v>
      </c>
      <c r="O26" s="180" t="s">
        <v>458</v>
      </c>
      <c r="P26" s="183">
        <v>265641.49800000002</v>
      </c>
      <c r="Q26" s="182" t="s">
        <v>454</v>
      </c>
      <c r="R26" s="183">
        <v>265641.49800000002</v>
      </c>
      <c r="S26" s="182" t="s">
        <v>500</v>
      </c>
      <c r="T26" s="182" t="s">
        <v>500</v>
      </c>
      <c r="U26" s="182">
        <v>2</v>
      </c>
      <c r="V26" s="182">
        <v>2</v>
      </c>
      <c r="W26" s="186" t="s">
        <v>460</v>
      </c>
      <c r="X26" s="186" t="s">
        <v>508</v>
      </c>
      <c r="Y26" s="186" t="s">
        <v>461</v>
      </c>
      <c r="Z26" s="200" t="s">
        <v>462</v>
      </c>
      <c r="AA26" s="200" t="s">
        <v>462</v>
      </c>
      <c r="AB26" s="183">
        <v>265375.86</v>
      </c>
      <c r="AC26" s="186" t="s">
        <v>463</v>
      </c>
      <c r="AD26" s="201">
        <v>627056.38</v>
      </c>
      <c r="AE26" s="197"/>
      <c r="AF26" s="186">
        <v>1461829</v>
      </c>
      <c r="AG26" s="202" t="s">
        <v>464</v>
      </c>
      <c r="AH26" s="203">
        <v>43892</v>
      </c>
      <c r="AI26" s="203">
        <v>43892</v>
      </c>
      <c r="AJ26" s="185">
        <v>43948</v>
      </c>
      <c r="AK26" s="195" t="s">
        <v>465</v>
      </c>
      <c r="AL26" s="391" t="s">
        <v>503</v>
      </c>
      <c r="AM26" s="392"/>
      <c r="AN26" s="392"/>
      <c r="AO26" s="393"/>
      <c r="AP26" s="173">
        <v>43976</v>
      </c>
      <c r="AQ26" s="173">
        <v>43976</v>
      </c>
      <c r="AR26" s="204">
        <v>43976</v>
      </c>
      <c r="AS26" s="204">
        <v>43976</v>
      </c>
      <c r="AT26" s="173">
        <v>45291</v>
      </c>
      <c r="AU26" s="205"/>
      <c r="AV26" s="198" t="s">
        <v>507</v>
      </c>
    </row>
    <row r="27" spans="1:49" s="176" customFormat="1" ht="78" customHeight="1" x14ac:dyDescent="0.25">
      <c r="A27" s="182">
        <v>2</v>
      </c>
      <c r="B27" s="388"/>
      <c r="C27" s="379"/>
      <c r="D27" s="379"/>
      <c r="E27" s="379"/>
      <c r="F27" s="379"/>
      <c r="G27" s="376"/>
      <c r="H27" s="379"/>
      <c r="I27" s="379"/>
      <c r="J27" s="379"/>
      <c r="K27" s="379"/>
      <c r="L27" s="379"/>
      <c r="M27" s="195" t="s">
        <v>75</v>
      </c>
      <c r="N27" s="195" t="s">
        <v>482</v>
      </c>
      <c r="O27" s="383" t="s">
        <v>483</v>
      </c>
      <c r="P27" s="183">
        <v>8138.3</v>
      </c>
      <c r="Q27" s="196" t="s">
        <v>484</v>
      </c>
      <c r="R27" s="182">
        <v>8138.3</v>
      </c>
      <c r="S27" s="182" t="s">
        <v>459</v>
      </c>
      <c r="T27" s="182" t="s">
        <v>459</v>
      </c>
      <c r="U27" s="182">
        <v>3</v>
      </c>
      <c r="V27" s="182">
        <v>3</v>
      </c>
      <c r="W27" s="195" t="s">
        <v>485</v>
      </c>
      <c r="X27" s="182">
        <v>8138.3</v>
      </c>
      <c r="Y27" s="195" t="s">
        <v>486</v>
      </c>
      <c r="Z27" s="182">
        <v>1</v>
      </c>
      <c r="AA27" s="182" t="s">
        <v>452</v>
      </c>
      <c r="AB27" s="182">
        <v>8138.3</v>
      </c>
      <c r="AC27" s="195" t="s">
        <v>487</v>
      </c>
      <c r="AD27" s="183">
        <v>9765.9599999999991</v>
      </c>
      <c r="AE27" s="182"/>
      <c r="AF27" s="182">
        <v>32211852902</v>
      </c>
      <c r="AG27" s="184" t="s">
        <v>488</v>
      </c>
      <c r="AH27" s="185">
        <v>44881</v>
      </c>
      <c r="AI27" s="185">
        <v>44881</v>
      </c>
      <c r="AJ27" s="185">
        <v>44896</v>
      </c>
      <c r="AK27" s="185">
        <v>44901</v>
      </c>
      <c r="AL27" s="391" t="s">
        <v>503</v>
      </c>
      <c r="AM27" s="392"/>
      <c r="AN27" s="392"/>
      <c r="AO27" s="393"/>
      <c r="AP27" s="185">
        <v>44901</v>
      </c>
      <c r="AQ27" s="185">
        <v>44901</v>
      </c>
      <c r="AR27" s="185">
        <v>44901</v>
      </c>
      <c r="AS27" s="185">
        <v>44901</v>
      </c>
      <c r="AT27" s="185">
        <v>44973</v>
      </c>
      <c r="AU27" s="182" t="s">
        <v>312</v>
      </c>
      <c r="AV27" s="198" t="s">
        <v>512</v>
      </c>
      <c r="AW27" s="48"/>
    </row>
    <row r="28" spans="1:49" ht="93" customHeight="1" x14ac:dyDescent="0.25">
      <c r="A28" s="182">
        <v>3</v>
      </c>
      <c r="B28" s="388"/>
      <c r="C28" s="379"/>
      <c r="D28" s="379"/>
      <c r="E28" s="379"/>
      <c r="F28" s="379"/>
      <c r="G28" s="376"/>
      <c r="H28" s="379"/>
      <c r="I28" s="379"/>
      <c r="J28" s="379"/>
      <c r="K28" s="379"/>
      <c r="L28" s="379"/>
      <c r="M28" s="195" t="s">
        <v>75</v>
      </c>
      <c r="N28" s="195" t="s">
        <v>489</v>
      </c>
      <c r="O28" s="384"/>
      <c r="P28" s="183">
        <v>282832.09999999998</v>
      </c>
      <c r="Q28" s="182" t="s">
        <v>484</v>
      </c>
      <c r="R28" s="183">
        <v>282832.09999999998</v>
      </c>
      <c r="S28" s="182" t="s">
        <v>459</v>
      </c>
      <c r="T28" s="182" t="s">
        <v>459</v>
      </c>
      <c r="U28" s="182">
        <v>1</v>
      </c>
      <c r="V28" s="182">
        <v>1</v>
      </c>
      <c r="W28" s="195" t="s">
        <v>490</v>
      </c>
      <c r="X28" s="182">
        <v>282832.09999999998</v>
      </c>
      <c r="Y28" s="182" t="s">
        <v>452</v>
      </c>
      <c r="Z28" s="182">
        <v>1</v>
      </c>
      <c r="AA28" s="182" t="s">
        <v>452</v>
      </c>
      <c r="AB28" s="182">
        <v>282832.09999999998</v>
      </c>
      <c r="AC28" s="195" t="s">
        <v>490</v>
      </c>
      <c r="AD28" s="181">
        <v>339398.51880000002</v>
      </c>
      <c r="AE28" s="181"/>
      <c r="AF28" s="182" t="s">
        <v>491</v>
      </c>
      <c r="AG28" s="184" t="s">
        <v>488</v>
      </c>
      <c r="AH28" s="185">
        <v>44883</v>
      </c>
      <c r="AI28" s="185">
        <v>44883</v>
      </c>
      <c r="AJ28" s="185">
        <v>44900</v>
      </c>
      <c r="AK28" s="185">
        <v>44902</v>
      </c>
      <c r="AL28" s="386" t="s">
        <v>503</v>
      </c>
      <c r="AM28" s="386"/>
      <c r="AN28" s="386"/>
      <c r="AO28" s="386"/>
      <c r="AP28" s="185">
        <v>44902</v>
      </c>
      <c r="AQ28" s="185">
        <v>44902</v>
      </c>
      <c r="AR28" s="185">
        <v>44902</v>
      </c>
      <c r="AS28" s="185">
        <v>44902</v>
      </c>
      <c r="AT28" s="185">
        <v>44974</v>
      </c>
      <c r="AU28" s="182" t="s">
        <v>312</v>
      </c>
      <c r="AV28" s="198" t="s">
        <v>509</v>
      </c>
    </row>
    <row r="29" spans="1:49" ht="90.75" customHeight="1" x14ac:dyDescent="0.25">
      <c r="A29" s="182">
        <v>4</v>
      </c>
      <c r="B29" s="388"/>
      <c r="C29" s="379"/>
      <c r="D29" s="379"/>
      <c r="E29" s="379"/>
      <c r="F29" s="379"/>
      <c r="G29" s="376"/>
      <c r="H29" s="379"/>
      <c r="I29" s="379"/>
      <c r="J29" s="379"/>
      <c r="K29" s="379"/>
      <c r="L29" s="379"/>
      <c r="M29" s="195" t="s">
        <v>75</v>
      </c>
      <c r="N29" s="186" t="s">
        <v>492</v>
      </c>
      <c r="O29" s="384"/>
      <c r="P29" s="183">
        <v>272862.44300000003</v>
      </c>
      <c r="Q29" s="182" t="s">
        <v>484</v>
      </c>
      <c r="R29" s="183">
        <v>272862.44300000003</v>
      </c>
      <c r="S29" s="182" t="s">
        <v>459</v>
      </c>
      <c r="T29" s="182" t="s">
        <v>459</v>
      </c>
      <c r="U29" s="182">
        <v>1</v>
      </c>
      <c r="V29" s="182">
        <v>1</v>
      </c>
      <c r="W29" s="195" t="s">
        <v>490</v>
      </c>
      <c r="X29" s="183">
        <v>272862.44300000003</v>
      </c>
      <c r="Y29" s="182" t="s">
        <v>452</v>
      </c>
      <c r="Z29" s="182">
        <v>1</v>
      </c>
      <c r="AA29" s="182" t="s">
        <v>452</v>
      </c>
      <c r="AB29" s="183">
        <v>272862.44300000003</v>
      </c>
      <c r="AC29" s="195" t="s">
        <v>490</v>
      </c>
      <c r="AD29" s="183">
        <v>327434.93</v>
      </c>
      <c r="AE29" s="183"/>
      <c r="AF29" s="182" t="s">
        <v>493</v>
      </c>
      <c r="AG29" s="184" t="s">
        <v>488</v>
      </c>
      <c r="AH29" s="185">
        <v>44883</v>
      </c>
      <c r="AI29" s="185">
        <v>44883</v>
      </c>
      <c r="AJ29" s="185">
        <v>44900</v>
      </c>
      <c r="AK29" s="185">
        <v>44902</v>
      </c>
      <c r="AL29" s="386" t="s">
        <v>503</v>
      </c>
      <c r="AM29" s="386"/>
      <c r="AN29" s="386"/>
      <c r="AO29" s="386"/>
      <c r="AP29" s="185">
        <v>44902</v>
      </c>
      <c r="AQ29" s="185">
        <v>44902</v>
      </c>
      <c r="AR29" s="185">
        <v>44902</v>
      </c>
      <c r="AS29" s="185">
        <v>44902</v>
      </c>
      <c r="AT29" s="185">
        <v>44974</v>
      </c>
      <c r="AU29" s="182" t="s">
        <v>312</v>
      </c>
      <c r="AV29" s="198" t="s">
        <v>510</v>
      </c>
    </row>
    <row r="30" spans="1:49" ht="89.25" customHeight="1" x14ac:dyDescent="0.25">
      <c r="A30" s="182">
        <v>5</v>
      </c>
      <c r="B30" s="388"/>
      <c r="C30" s="379"/>
      <c r="D30" s="379"/>
      <c r="E30" s="379"/>
      <c r="F30" s="379"/>
      <c r="G30" s="376"/>
      <c r="H30" s="379"/>
      <c r="I30" s="379"/>
      <c r="J30" s="379"/>
      <c r="K30" s="379"/>
      <c r="L30" s="379"/>
      <c r="M30" s="195" t="s">
        <v>75</v>
      </c>
      <c r="N30" s="186" t="s">
        <v>494</v>
      </c>
      <c r="O30" s="385"/>
      <c r="P30" s="181">
        <v>277295.12</v>
      </c>
      <c r="Q30" s="182" t="s">
        <v>484</v>
      </c>
      <c r="R30" s="181">
        <v>277295.12</v>
      </c>
      <c r="S30" s="182" t="s">
        <v>459</v>
      </c>
      <c r="T30" s="182" t="s">
        <v>459</v>
      </c>
      <c r="U30" s="182">
        <v>2</v>
      </c>
      <c r="V30" s="182">
        <v>2</v>
      </c>
      <c r="W30" s="195" t="s">
        <v>495</v>
      </c>
      <c r="X30" s="181">
        <v>277295.12</v>
      </c>
      <c r="Y30" s="195" t="s">
        <v>496</v>
      </c>
      <c r="Z30" s="182">
        <v>1</v>
      </c>
      <c r="AA30" s="182" t="s">
        <v>452</v>
      </c>
      <c r="AB30" s="181">
        <v>277295.12</v>
      </c>
      <c r="AC30" s="195" t="s">
        <v>490</v>
      </c>
      <c r="AD30" s="183">
        <v>332754.14399999997</v>
      </c>
      <c r="AE30" s="183"/>
      <c r="AF30" s="182" t="s">
        <v>497</v>
      </c>
      <c r="AG30" s="184" t="s">
        <v>488</v>
      </c>
      <c r="AH30" s="185">
        <v>44883</v>
      </c>
      <c r="AI30" s="185">
        <v>44883</v>
      </c>
      <c r="AJ30" s="185">
        <v>44900</v>
      </c>
      <c r="AK30" s="185">
        <v>44902</v>
      </c>
      <c r="AL30" s="386" t="s">
        <v>503</v>
      </c>
      <c r="AM30" s="386"/>
      <c r="AN30" s="386"/>
      <c r="AO30" s="386"/>
      <c r="AP30" s="185">
        <v>44902</v>
      </c>
      <c r="AQ30" s="185">
        <v>44902</v>
      </c>
      <c r="AR30" s="185">
        <v>44902</v>
      </c>
      <c r="AS30" s="185">
        <v>44902</v>
      </c>
      <c r="AT30" s="185">
        <v>44974</v>
      </c>
      <c r="AU30" s="182" t="s">
        <v>312</v>
      </c>
      <c r="AV30" s="198" t="s">
        <v>511</v>
      </c>
    </row>
    <row r="31" spans="1:49" s="187" customFormat="1" ht="105" customHeight="1" x14ac:dyDescent="0.25">
      <c r="A31" s="226">
        <v>6</v>
      </c>
      <c r="B31" s="388"/>
      <c r="C31" s="379"/>
      <c r="D31" s="379"/>
      <c r="E31" s="379"/>
      <c r="F31" s="379"/>
      <c r="G31" s="376"/>
      <c r="H31" s="379"/>
      <c r="I31" s="379"/>
      <c r="J31" s="379"/>
      <c r="K31" s="379"/>
      <c r="L31" s="379"/>
      <c r="M31" s="179" t="s">
        <v>498</v>
      </c>
      <c r="N31" s="179" t="s">
        <v>498</v>
      </c>
      <c r="O31" s="180" t="s">
        <v>458</v>
      </c>
      <c r="P31" s="181">
        <f>213550.392/1.2</f>
        <v>177958.66</v>
      </c>
      <c r="Q31" s="182" t="s">
        <v>499</v>
      </c>
      <c r="R31" s="181">
        <f>P31</f>
        <v>177958.66</v>
      </c>
      <c r="S31" s="182" t="s">
        <v>500</v>
      </c>
      <c r="T31" s="182" t="s">
        <v>500</v>
      </c>
      <c r="U31" s="182">
        <v>1</v>
      </c>
      <c r="V31" s="182">
        <v>1</v>
      </c>
      <c r="W31" s="179" t="s">
        <v>501</v>
      </c>
      <c r="X31" s="181">
        <f>213550.392/1.2</f>
        <v>177958.66</v>
      </c>
      <c r="Y31" s="179" t="s">
        <v>452</v>
      </c>
      <c r="Z31" s="182">
        <v>1</v>
      </c>
      <c r="AA31" s="182">
        <v>177958.66</v>
      </c>
      <c r="AB31" s="181">
        <f>AA31</f>
        <v>177958.66</v>
      </c>
      <c r="AC31" s="179" t="s">
        <v>501</v>
      </c>
      <c r="AD31" s="183">
        <v>161559.56</v>
      </c>
      <c r="AE31" s="238">
        <v>24113.578659999999</v>
      </c>
      <c r="AF31" s="182">
        <v>32312614261</v>
      </c>
      <c r="AG31" s="184" t="s">
        <v>502</v>
      </c>
      <c r="AH31" s="185">
        <v>45132</v>
      </c>
      <c r="AI31" s="185">
        <v>45132</v>
      </c>
      <c r="AJ31" s="185">
        <v>45154</v>
      </c>
      <c r="AK31" s="185">
        <v>45155</v>
      </c>
      <c r="AL31" s="386" t="s">
        <v>503</v>
      </c>
      <c r="AM31" s="386"/>
      <c r="AN31" s="386"/>
      <c r="AO31" s="386"/>
      <c r="AP31" s="185">
        <v>45187</v>
      </c>
      <c r="AQ31" s="185">
        <v>45187</v>
      </c>
      <c r="AR31" s="185">
        <v>45187</v>
      </c>
      <c r="AS31" s="185">
        <v>45187</v>
      </c>
      <c r="AT31" s="185">
        <v>45473</v>
      </c>
      <c r="AU31" s="182"/>
      <c r="AV31" s="198" t="s">
        <v>561</v>
      </c>
      <c r="AW31" s="211"/>
    </row>
    <row r="32" spans="1:49" ht="86.25" customHeight="1" x14ac:dyDescent="0.25">
      <c r="A32" s="182">
        <v>7</v>
      </c>
      <c r="B32" s="389"/>
      <c r="C32" s="380"/>
      <c r="D32" s="380"/>
      <c r="E32" s="380"/>
      <c r="F32" s="380"/>
      <c r="G32" s="377"/>
      <c r="H32" s="380"/>
      <c r="I32" s="380"/>
      <c r="J32" s="380"/>
      <c r="K32" s="380"/>
      <c r="L32" s="380"/>
      <c r="M32" s="191" t="s">
        <v>504</v>
      </c>
      <c r="N32" s="191" t="s">
        <v>504</v>
      </c>
      <c r="O32" s="236" t="s">
        <v>514</v>
      </c>
      <c r="P32" s="192">
        <v>6028.52</v>
      </c>
      <c r="Q32" s="196" t="s">
        <v>499</v>
      </c>
      <c r="R32" s="189">
        <f>P32</f>
        <v>6028.52</v>
      </c>
      <c r="S32" s="206" t="s">
        <v>312</v>
      </c>
      <c r="T32" s="206" t="s">
        <v>312</v>
      </c>
      <c r="U32" s="206" t="s">
        <v>312</v>
      </c>
      <c r="V32" s="206" t="s">
        <v>312</v>
      </c>
      <c r="W32" s="195" t="s">
        <v>515</v>
      </c>
      <c r="X32" s="207" t="s">
        <v>312</v>
      </c>
      <c r="Y32" s="208" t="s">
        <v>516</v>
      </c>
      <c r="Z32" s="209">
        <v>0</v>
      </c>
      <c r="AA32" s="207">
        <v>0</v>
      </c>
      <c r="AB32" s="210">
        <v>0</v>
      </c>
      <c r="AC32" s="195" t="s">
        <v>515</v>
      </c>
      <c r="AD32" s="192">
        <f>R32*1.2</f>
        <v>7234.2240000000002</v>
      </c>
      <c r="AE32" s="238">
        <v>5739.8972599999997</v>
      </c>
      <c r="AF32" s="394" t="s">
        <v>517</v>
      </c>
      <c r="AG32" s="395"/>
      <c r="AH32" s="395"/>
      <c r="AI32" s="395"/>
      <c r="AJ32" s="395"/>
      <c r="AK32" s="396"/>
      <c r="AL32" s="196" t="s">
        <v>312</v>
      </c>
      <c r="AM32" s="196" t="s">
        <v>312</v>
      </c>
      <c r="AN32" s="196" t="s">
        <v>312</v>
      </c>
      <c r="AO32" s="196" t="s">
        <v>312</v>
      </c>
      <c r="AP32" s="190">
        <v>45187</v>
      </c>
      <c r="AQ32" s="190">
        <v>45187</v>
      </c>
      <c r="AR32" s="190">
        <v>45187</v>
      </c>
      <c r="AS32" s="190">
        <v>45187</v>
      </c>
      <c r="AT32" s="190">
        <v>45473</v>
      </c>
      <c r="AU32" s="188"/>
      <c r="AV32" s="198" t="s">
        <v>513</v>
      </c>
    </row>
  </sheetData>
  <mergeCells count="86">
    <mergeCell ref="AL28:AO28"/>
    <mergeCell ref="AL29:AO29"/>
    <mergeCell ref="B26:B32"/>
    <mergeCell ref="C26:C32"/>
    <mergeCell ref="D26:D32"/>
    <mergeCell ref="E26:E32"/>
    <mergeCell ref="F26:F32"/>
    <mergeCell ref="AL26:AO26"/>
    <mergeCell ref="AL30:AO30"/>
    <mergeCell ref="AL27:AO27"/>
    <mergeCell ref="AF32:AK32"/>
    <mergeCell ref="AL31:AO31"/>
    <mergeCell ref="W22:W24"/>
    <mergeCell ref="X22:X24"/>
    <mergeCell ref="U22:U24"/>
    <mergeCell ref="Z22:Z24"/>
    <mergeCell ref="G26:G32"/>
    <mergeCell ref="H26:H32"/>
    <mergeCell ref="I26:I32"/>
    <mergeCell ref="J26:J32"/>
    <mergeCell ref="K26:K32"/>
    <mergeCell ref="L26:L32"/>
    <mergeCell ref="I23:I24"/>
    <mergeCell ref="J23:J24"/>
    <mergeCell ref="K23:K24"/>
    <mergeCell ref="L23:L24"/>
    <mergeCell ref="V22:V24"/>
    <mergeCell ref="O27:O30"/>
    <mergeCell ref="A22:A24"/>
    <mergeCell ref="E23:E24"/>
    <mergeCell ref="F23:F24"/>
    <mergeCell ref="G23:G24"/>
    <mergeCell ref="H23:H24"/>
    <mergeCell ref="AU22:AU24"/>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E22:AE24"/>
    <mergeCell ref="A18:AV18"/>
    <mergeCell ref="A19:AV19"/>
    <mergeCell ref="A20:AV20"/>
    <mergeCell ref="A21:AV21"/>
    <mergeCell ref="AV22:AV24"/>
    <mergeCell ref="AT22:AT24"/>
    <mergeCell ref="B22:B24"/>
    <mergeCell ref="C22:C24"/>
    <mergeCell ref="AL22:AO22"/>
    <mergeCell ref="O22:O24"/>
    <mergeCell ref="P22:P24"/>
    <mergeCell ref="M22:M24"/>
    <mergeCell ref="Q22:Q24"/>
    <mergeCell ref="AJ23:AJ24"/>
    <mergeCell ref="S23:S24"/>
    <mergeCell ref="AK23:AK24"/>
    <mergeCell ref="A12:AV12"/>
    <mergeCell ref="A13:AV13"/>
    <mergeCell ref="A14:AV14"/>
    <mergeCell ref="A15:AV15"/>
    <mergeCell ref="A16:AV16"/>
    <mergeCell ref="AF22:AK22"/>
    <mergeCell ref="AS22:AS24"/>
    <mergeCell ref="AA22:AA24"/>
    <mergeCell ref="AB22:AB24"/>
    <mergeCell ref="AC22:AC24"/>
    <mergeCell ref="AD22:AD24"/>
    <mergeCell ref="AL23:AL24"/>
    <mergeCell ref="AM23:AM24"/>
    <mergeCell ref="AN23:AN24"/>
    <mergeCell ref="AO23:AO24"/>
    <mergeCell ref="AP23:AP24"/>
    <mergeCell ref="AQ23:AQ24"/>
    <mergeCell ref="AP22:AQ22"/>
    <mergeCell ref="AR22:AR24"/>
    <mergeCell ref="AH23:AI23"/>
    <mergeCell ref="AF23:AG23"/>
  </mergeCells>
  <phoneticPr fontId="70" type="noConversion"/>
  <hyperlinks>
    <hyperlink ref="AG27" r:id="rId1" display="https://www.roseltorg.ru/"/>
    <hyperlink ref="AG28" r:id="rId2" display="https://www.roseltorg.ru/"/>
    <hyperlink ref="AG29" r:id="rId3" display="https://www.roseltorg.ru/"/>
    <hyperlink ref="AG30" r:id="rId4" display="https://www.roseltorg.ru/"/>
    <hyperlink ref="AG26" r:id="rId5" display="http://www.b2b-center.ru/"/>
  </hyperlinks>
  <pageMargins left="0.7" right="0.7" top="0.75" bottom="0.75" header="0.3" footer="0.3"/>
  <pageSetup paperSize="9" orientation="portrait"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opLeftCell="A4" zoomScale="80" zoomScaleNormal="80" workbookViewId="0">
      <selection activeCell="B23" sqref="B23"/>
    </sheetView>
  </sheetViews>
  <sheetFormatPr defaultColWidth="9.140625" defaultRowHeight="15.75" x14ac:dyDescent="0.25"/>
  <cols>
    <col min="1" max="2" width="66.140625" style="20" customWidth="1"/>
    <col min="3" max="4" width="7.57031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99" t="str">
        <f>'1. паспорт местоположение'!$A$5</f>
        <v>Год раскрытия информации: 2025 год</v>
      </c>
      <c r="B5" s="399"/>
      <c r="C5" s="16"/>
      <c r="D5" s="16"/>
      <c r="E5" s="16"/>
      <c r="F5" s="16"/>
      <c r="G5" s="16"/>
      <c r="H5" s="16"/>
    </row>
    <row r="6" spans="1:8" ht="18.75" x14ac:dyDescent="0.3">
      <c r="A6" s="72"/>
      <c r="B6" s="72"/>
      <c r="C6" s="72"/>
      <c r="D6" s="72"/>
      <c r="E6" s="72"/>
      <c r="F6" s="72"/>
      <c r="G6" s="72"/>
      <c r="H6" s="72"/>
    </row>
    <row r="7" spans="1:8" ht="18.75" x14ac:dyDescent="0.25">
      <c r="A7" s="260" t="s">
        <v>5</v>
      </c>
      <c r="B7" s="260"/>
      <c r="C7" s="73"/>
      <c r="D7" s="73"/>
      <c r="E7" s="73"/>
      <c r="F7" s="73"/>
      <c r="G7" s="73"/>
      <c r="H7" s="73"/>
    </row>
    <row r="8" spans="1:8" ht="18.75" x14ac:dyDescent="0.25">
      <c r="A8" s="73"/>
      <c r="B8" s="73"/>
      <c r="C8" s="73"/>
      <c r="D8" s="73"/>
      <c r="E8" s="73"/>
      <c r="F8" s="73"/>
      <c r="G8" s="73"/>
      <c r="H8" s="73"/>
    </row>
    <row r="9" spans="1:8" x14ac:dyDescent="0.25">
      <c r="A9" s="261" t="s">
        <v>249</v>
      </c>
      <c r="B9" s="261"/>
      <c r="C9" s="76"/>
      <c r="D9" s="76"/>
      <c r="E9" s="76"/>
      <c r="F9" s="76"/>
      <c r="G9" s="76"/>
      <c r="H9" s="76"/>
    </row>
    <row r="10" spans="1:8" x14ac:dyDescent="0.25">
      <c r="A10" s="262" t="s">
        <v>4</v>
      </c>
      <c r="B10" s="262"/>
      <c r="C10" s="77"/>
      <c r="D10" s="77"/>
      <c r="E10" s="77"/>
      <c r="F10" s="77"/>
      <c r="G10" s="77"/>
      <c r="H10" s="77"/>
    </row>
    <row r="11" spans="1:8" ht="18.75" x14ac:dyDescent="0.25">
      <c r="A11" s="73"/>
      <c r="B11" s="73"/>
      <c r="C11" s="73"/>
      <c r="D11" s="73"/>
      <c r="E11" s="73"/>
      <c r="F11" s="73"/>
      <c r="G11" s="73"/>
      <c r="H11" s="73"/>
    </row>
    <row r="12" spans="1:8" ht="30.75" customHeight="1" x14ac:dyDescent="0.25">
      <c r="A12" s="261" t="str">
        <f>'1. паспорт местоположение'!A12:C12</f>
        <v>K_Che303</v>
      </c>
      <c r="B12" s="261"/>
      <c r="C12" s="76"/>
      <c r="D12" s="76"/>
      <c r="E12" s="76"/>
      <c r="F12" s="76"/>
      <c r="G12" s="76"/>
      <c r="H12" s="76"/>
    </row>
    <row r="13" spans="1:8" x14ac:dyDescent="0.25">
      <c r="A13" s="262" t="s">
        <v>3</v>
      </c>
      <c r="B13" s="262"/>
      <c r="C13" s="77"/>
      <c r="D13" s="77"/>
      <c r="E13" s="77"/>
      <c r="F13" s="77"/>
      <c r="G13" s="77"/>
      <c r="H13" s="77"/>
    </row>
    <row r="14" spans="1:8" ht="18.75" x14ac:dyDescent="0.25">
      <c r="A14" s="1"/>
      <c r="B14" s="1"/>
      <c r="C14" s="1"/>
      <c r="D14" s="1"/>
      <c r="E14" s="1"/>
      <c r="F14" s="1"/>
      <c r="G14" s="1"/>
      <c r="H14" s="1"/>
    </row>
    <row r="15" spans="1:8" ht="45" customHeight="1" x14ac:dyDescent="0.25">
      <c r="A15" s="26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3"/>
      <c r="C15" s="76"/>
      <c r="D15" s="76"/>
      <c r="E15" s="76"/>
      <c r="F15" s="76"/>
      <c r="G15" s="76"/>
      <c r="H15" s="76"/>
    </row>
    <row r="16" spans="1:8" x14ac:dyDescent="0.25">
      <c r="A16" s="262" t="s">
        <v>2</v>
      </c>
      <c r="B16" s="262"/>
      <c r="C16" s="77"/>
      <c r="D16" s="77"/>
      <c r="E16" s="77"/>
      <c r="F16" s="77"/>
      <c r="G16" s="77"/>
      <c r="H16" s="77"/>
    </row>
    <row r="17" spans="1:2" x14ac:dyDescent="0.25">
      <c r="B17" s="22"/>
    </row>
    <row r="18" spans="1:2" ht="33.75" customHeight="1" x14ac:dyDescent="0.25">
      <c r="A18" s="397" t="s">
        <v>241</v>
      </c>
      <c r="B18" s="398"/>
    </row>
    <row r="19" spans="1:2" x14ac:dyDescent="0.25">
      <c r="B19" s="5"/>
    </row>
    <row r="20" spans="1:2" x14ac:dyDescent="0.25">
      <c r="B20" s="23"/>
    </row>
    <row r="21" spans="1:2" s="52" customFormat="1" ht="90" x14ac:dyDescent="0.25">
      <c r="A21" s="212" t="s">
        <v>143</v>
      </c>
      <c r="B21" s="78" t="str">
        <f>'1. паспорт местоположение'!A15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row>
    <row r="22" spans="1:2" s="52" customFormat="1" x14ac:dyDescent="0.25">
      <c r="A22" s="212" t="s">
        <v>144</v>
      </c>
      <c r="B22" s="78" t="str">
        <f>'1. паспорт местоположение'!C27</f>
        <v>г. Грозный</v>
      </c>
    </row>
    <row r="23" spans="1:2" s="52" customFormat="1" ht="45" x14ac:dyDescent="0.25">
      <c r="A23" s="212" t="s">
        <v>140</v>
      </c>
      <c r="B23" s="78"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52" customFormat="1" x14ac:dyDescent="0.25">
      <c r="A24" s="212" t="s">
        <v>145</v>
      </c>
      <c r="B24" s="79">
        <v>0</v>
      </c>
    </row>
    <row r="25" spans="1:2" s="52" customFormat="1" x14ac:dyDescent="0.25">
      <c r="A25" s="213" t="s">
        <v>146</v>
      </c>
      <c r="B25" s="78">
        <f>VLOOKUP(A12,'[1]6.2. отчет'!$D:$OM,400,0)</f>
        <v>2024</v>
      </c>
    </row>
    <row r="26" spans="1:2" s="52" customFormat="1" x14ac:dyDescent="0.25">
      <c r="A26" s="213" t="s">
        <v>147</v>
      </c>
      <c r="B26" s="78" t="str">
        <f>'3.3 паспорт описание'!C30</f>
        <v>с</v>
      </c>
    </row>
    <row r="27" spans="1:2" s="52" customFormat="1" ht="18" customHeight="1" x14ac:dyDescent="0.25">
      <c r="A27" s="214" t="s">
        <v>453</v>
      </c>
      <c r="B27" s="79">
        <f>VLOOKUP($A$12,'[1]6.2. отчет'!$D:$OT,407,0)</f>
        <v>340.40556399799999</v>
      </c>
    </row>
    <row r="28" spans="1:2" s="52" customFormat="1" x14ac:dyDescent="0.25">
      <c r="A28" s="193" t="s">
        <v>148</v>
      </c>
      <c r="B28" s="215" t="s">
        <v>454</v>
      </c>
    </row>
    <row r="29" spans="1:2" s="52" customFormat="1" ht="21" customHeight="1" x14ac:dyDescent="0.25">
      <c r="A29" s="212" t="s">
        <v>149</v>
      </c>
      <c r="B29" s="194">
        <f>B30</f>
        <v>329.07014799999996</v>
      </c>
    </row>
    <row r="30" spans="1:2" s="52" customFormat="1" ht="28.5" x14ac:dyDescent="0.25">
      <c r="A30" s="212" t="s">
        <v>150</v>
      </c>
      <c r="B30" s="194">
        <f>70.75+B41+B46+B51++B56+B61+B63</f>
        <v>329.07014799999996</v>
      </c>
    </row>
    <row r="31" spans="1:2" s="52" customFormat="1" x14ac:dyDescent="0.25">
      <c r="A31" s="193" t="s">
        <v>151</v>
      </c>
      <c r="B31" s="193"/>
    </row>
    <row r="32" spans="1:2" s="52" customFormat="1" ht="28.5" x14ac:dyDescent="0.25">
      <c r="A32" s="212" t="s">
        <v>152</v>
      </c>
      <c r="B32" s="212" t="s">
        <v>562</v>
      </c>
    </row>
    <row r="33" spans="1:2" s="52" customFormat="1" x14ac:dyDescent="0.25">
      <c r="A33" s="193" t="s">
        <v>505</v>
      </c>
      <c r="B33" s="194">
        <f>'7. Паспорт отчет о закупке'!AD31/1000</f>
        <v>161.55956</v>
      </c>
    </row>
    <row r="34" spans="1:2" s="52" customFormat="1" x14ac:dyDescent="0.25">
      <c r="A34" s="193" t="s">
        <v>153</v>
      </c>
      <c r="B34" s="217">
        <f>93.45/$B$27</f>
        <v>0.27452547749938971</v>
      </c>
    </row>
    <row r="35" spans="1:2" s="52" customFormat="1" x14ac:dyDescent="0.25">
      <c r="A35" s="193" t="s">
        <v>154</v>
      </c>
      <c r="B35" s="194">
        <v>55.141843170000001</v>
      </c>
    </row>
    <row r="36" spans="1:2" s="52" customFormat="1" x14ac:dyDescent="0.25">
      <c r="A36" s="193" t="s">
        <v>155</v>
      </c>
      <c r="B36" s="194">
        <f>24.11357866+28.27538898*1.2</f>
        <v>58.044045435999998</v>
      </c>
    </row>
    <row r="37" spans="1:2" s="52" customFormat="1" ht="28.5" x14ac:dyDescent="0.25">
      <c r="A37" s="212" t="s">
        <v>156</v>
      </c>
      <c r="B37" s="212" t="s">
        <v>477</v>
      </c>
    </row>
    <row r="38" spans="1:2" s="52" customFormat="1" x14ac:dyDescent="0.25">
      <c r="A38" s="193" t="s">
        <v>478</v>
      </c>
      <c r="B38" s="194">
        <f>'7. Паспорт отчет о закупке'!AD27/1000</f>
        <v>9.7659599999999998</v>
      </c>
    </row>
    <row r="39" spans="1:2" s="52" customFormat="1" x14ac:dyDescent="0.25">
      <c r="A39" s="193" t="s">
        <v>153</v>
      </c>
      <c r="B39" s="216">
        <f>5.04/B27</f>
        <v>1.4805868449405285E-2</v>
      </c>
    </row>
    <row r="40" spans="1:2" s="52" customFormat="1" x14ac:dyDescent="0.25">
      <c r="A40" s="193" t="s">
        <v>154</v>
      </c>
      <c r="B40" s="194">
        <v>5.0435999999999996</v>
      </c>
    </row>
    <row r="41" spans="1:2" s="52" customFormat="1" x14ac:dyDescent="0.25">
      <c r="A41" s="193" t="s">
        <v>155</v>
      </c>
      <c r="B41" s="194">
        <v>5.0435999999999996</v>
      </c>
    </row>
    <row r="42" spans="1:2" s="52" customFormat="1" ht="42.75" x14ac:dyDescent="0.25">
      <c r="A42" s="212" t="s">
        <v>156</v>
      </c>
      <c r="B42" s="224" t="s">
        <v>479</v>
      </c>
    </row>
    <row r="43" spans="1:2" s="52" customFormat="1" x14ac:dyDescent="0.25">
      <c r="A43" s="193" t="s">
        <v>478</v>
      </c>
      <c r="B43" s="194">
        <f>'7. Паспорт отчет о закупке'!AD28/1000</f>
        <v>339.39851880000003</v>
      </c>
    </row>
    <row r="44" spans="1:2" s="52" customFormat="1" x14ac:dyDescent="0.25">
      <c r="A44" s="193" t="s">
        <v>153</v>
      </c>
      <c r="B44" s="216">
        <f>B46/B27</f>
        <v>0.43186966239148711</v>
      </c>
    </row>
    <row r="45" spans="1:2" s="52" customFormat="1" x14ac:dyDescent="0.25">
      <c r="A45" s="193" t="s">
        <v>154</v>
      </c>
      <c r="B45" s="194">
        <v>147.01083600000001</v>
      </c>
    </row>
    <row r="46" spans="1:2" s="52" customFormat="1" x14ac:dyDescent="0.25">
      <c r="A46" s="193" t="s">
        <v>155</v>
      </c>
      <c r="B46" s="194">
        <v>147.01083600000001</v>
      </c>
    </row>
    <row r="47" spans="1:2" s="52" customFormat="1" ht="42.75" x14ac:dyDescent="0.25">
      <c r="A47" s="212" t="s">
        <v>156</v>
      </c>
      <c r="B47" s="224" t="s">
        <v>480</v>
      </c>
    </row>
    <row r="48" spans="1:2" s="52" customFormat="1" x14ac:dyDescent="0.25">
      <c r="A48" s="193" t="s">
        <v>478</v>
      </c>
      <c r="B48" s="194">
        <f>'7. Паспорт отчет о закупке'!AD29/1000</f>
        <v>327.43493000000001</v>
      </c>
    </row>
    <row r="49" spans="1:2" s="52" customFormat="1" x14ac:dyDescent="0.25">
      <c r="A49" s="193" t="s">
        <v>153</v>
      </c>
      <c r="B49" s="216">
        <f>B51/B27</f>
        <v>0.20507886880606382</v>
      </c>
    </row>
    <row r="50" spans="1:2" s="52" customFormat="1" x14ac:dyDescent="0.25">
      <c r="A50" s="193" t="s">
        <v>154</v>
      </c>
      <c r="B50" s="194">
        <v>69.809988000000004</v>
      </c>
    </row>
    <row r="51" spans="1:2" s="52" customFormat="1" x14ac:dyDescent="0.25">
      <c r="A51" s="193" t="s">
        <v>155</v>
      </c>
      <c r="B51" s="194">
        <v>69.809988000000004</v>
      </c>
    </row>
    <row r="52" spans="1:2" s="52" customFormat="1" ht="42.75" x14ac:dyDescent="0.25">
      <c r="A52" s="212" t="s">
        <v>156</v>
      </c>
      <c r="B52" s="224" t="s">
        <v>481</v>
      </c>
    </row>
    <row r="53" spans="1:2" s="52" customFormat="1" x14ac:dyDescent="0.25">
      <c r="A53" s="193" t="s">
        <v>478</v>
      </c>
      <c r="B53" s="194">
        <f>'7. Паспорт отчет о закупке'!AD30/1000</f>
        <v>332.754144</v>
      </c>
    </row>
    <row r="54" spans="1:2" s="52" customFormat="1" x14ac:dyDescent="0.25">
      <c r="A54" s="193" t="s">
        <v>153</v>
      </c>
      <c r="B54" s="216">
        <f>B56/B27</f>
        <v>6.5338226963090065E-2</v>
      </c>
    </row>
    <row r="55" spans="1:2" s="52" customFormat="1" x14ac:dyDescent="0.25">
      <c r="A55" s="193" t="s">
        <v>154</v>
      </c>
      <c r="B55" s="194">
        <v>22.241496000000001</v>
      </c>
    </row>
    <row r="56" spans="1:2" s="52" customFormat="1" x14ac:dyDescent="0.25">
      <c r="A56" s="193" t="s">
        <v>155</v>
      </c>
      <c r="B56" s="194">
        <v>22.241496000000001</v>
      </c>
    </row>
    <row r="57" spans="1:2" s="52" customFormat="1" ht="57" x14ac:dyDescent="0.25">
      <c r="A57" s="212" t="s">
        <v>157</v>
      </c>
      <c r="B57" s="212" t="s">
        <v>476</v>
      </c>
    </row>
    <row r="58" spans="1:2" s="52" customFormat="1" x14ac:dyDescent="0.25">
      <c r="A58" s="193" t="s">
        <v>467</v>
      </c>
      <c r="B58" s="194">
        <f>'7. Паспорт отчет о закупке'!AD26/1000</f>
        <v>627.05637999999999</v>
      </c>
    </row>
    <row r="59" spans="1:2" s="52" customFormat="1" x14ac:dyDescent="0.25">
      <c r="A59" s="193" t="s">
        <v>153</v>
      </c>
      <c r="B59" s="216">
        <f>B61/B27</f>
        <v>2.0504964484191011E-2</v>
      </c>
    </row>
    <row r="60" spans="1:2" s="52" customFormat="1" x14ac:dyDescent="0.25">
      <c r="A60" s="193" t="s">
        <v>154</v>
      </c>
      <c r="B60" s="194">
        <v>6.9800040000000001</v>
      </c>
    </row>
    <row r="61" spans="1:2" s="52" customFormat="1" x14ac:dyDescent="0.25">
      <c r="A61" s="193" t="s">
        <v>155</v>
      </c>
      <c r="B61" s="194">
        <v>6.9800040000000001</v>
      </c>
    </row>
    <row r="62" spans="1:2" s="52" customFormat="1" ht="28.5" x14ac:dyDescent="0.25">
      <c r="A62" s="212" t="s">
        <v>157</v>
      </c>
      <c r="B62" s="212" t="s">
        <v>506</v>
      </c>
    </row>
    <row r="63" spans="1:2" s="52" customFormat="1" x14ac:dyDescent="0.25">
      <c r="A63" s="193" t="s">
        <v>505</v>
      </c>
      <c r="B63" s="194">
        <f>'7. Паспорт отчет о закупке'!AD32/1000</f>
        <v>7.2342240000000002</v>
      </c>
    </row>
    <row r="64" spans="1:2" s="52" customFormat="1" x14ac:dyDescent="0.25">
      <c r="A64" s="193" t="s">
        <v>153</v>
      </c>
      <c r="B64" s="225">
        <f>B63/$B$27</f>
        <v>2.1251779539192561E-2</v>
      </c>
    </row>
    <row r="65" spans="1:2" s="52" customFormat="1" x14ac:dyDescent="0.25">
      <c r="A65" s="193" t="s">
        <v>154</v>
      </c>
      <c r="B65" s="194">
        <v>5.7398972600000002</v>
      </c>
    </row>
    <row r="66" spans="1:2" s="52" customFormat="1" x14ac:dyDescent="0.25">
      <c r="A66" s="193" t="s">
        <v>155</v>
      </c>
      <c r="B66" s="194">
        <f>4.78324772*1.2</f>
        <v>5.7398972640000006</v>
      </c>
    </row>
    <row r="67" spans="1:2" s="52" customFormat="1" ht="28.5" x14ac:dyDescent="0.25">
      <c r="A67" s="212" t="s">
        <v>157</v>
      </c>
      <c r="B67" s="239" t="s">
        <v>564</v>
      </c>
    </row>
    <row r="68" spans="1:2" s="52" customFormat="1" x14ac:dyDescent="0.25">
      <c r="A68" s="193" t="s">
        <v>505</v>
      </c>
      <c r="B68" s="239"/>
    </row>
    <row r="69" spans="1:2" s="52" customFormat="1" x14ac:dyDescent="0.25">
      <c r="A69" s="193" t="s">
        <v>153</v>
      </c>
      <c r="B69" s="239"/>
    </row>
    <row r="70" spans="1:2" s="52" customFormat="1" x14ac:dyDescent="0.25">
      <c r="A70" s="193" t="s">
        <v>154</v>
      </c>
      <c r="B70" s="239"/>
    </row>
    <row r="71" spans="1:2" s="52" customFormat="1" x14ac:dyDescent="0.25">
      <c r="A71" s="193" t="s">
        <v>155</v>
      </c>
      <c r="B71" s="239">
        <v>0.62149703999999995</v>
      </c>
    </row>
    <row r="72" spans="1:2" s="52" customFormat="1" x14ac:dyDescent="0.25">
      <c r="A72" s="213" t="s">
        <v>558</v>
      </c>
      <c r="B72" s="224">
        <f>B73+B74+B75</f>
        <v>3.9047625300000002</v>
      </c>
    </row>
    <row r="73" spans="1:2" s="52" customFormat="1" x14ac:dyDescent="0.25">
      <c r="A73" s="213" t="s">
        <v>559</v>
      </c>
      <c r="B73" s="194">
        <f>1.6986102+2.20615233</f>
        <v>3.9047625300000002</v>
      </c>
    </row>
    <row r="74" spans="1:2" s="52" customFormat="1" x14ac:dyDescent="0.25">
      <c r="A74" s="213" t="s">
        <v>560</v>
      </c>
      <c r="B74" s="194">
        <v>0</v>
      </c>
    </row>
    <row r="75" spans="1:2" s="52" customFormat="1" x14ac:dyDescent="0.25">
      <c r="A75" s="213" t="s">
        <v>73</v>
      </c>
      <c r="B75" s="194">
        <v>0</v>
      </c>
    </row>
    <row r="76" spans="1:2" s="52" customFormat="1" ht="28.5" x14ac:dyDescent="0.25">
      <c r="A76" s="213" t="s">
        <v>158</v>
      </c>
      <c r="B76" s="217">
        <v>1</v>
      </c>
    </row>
    <row r="77" spans="1:2" s="52" customFormat="1" x14ac:dyDescent="0.25">
      <c r="A77" s="218" t="s">
        <v>151</v>
      </c>
      <c r="B77" s="216">
        <v>0</v>
      </c>
    </row>
    <row r="78" spans="1:2" s="52" customFormat="1" x14ac:dyDescent="0.25">
      <c r="A78" s="218" t="s">
        <v>159</v>
      </c>
      <c r="B78" s="219">
        <f>B34</f>
        <v>0.27452547749938971</v>
      </c>
    </row>
    <row r="79" spans="1:2" s="52" customFormat="1" x14ac:dyDescent="0.25">
      <c r="A79" s="218" t="s">
        <v>160</v>
      </c>
      <c r="B79" s="219">
        <f>B39+B44+B49+B54</f>
        <v>0.71709262661004636</v>
      </c>
    </row>
    <row r="80" spans="1:2" s="52" customFormat="1" x14ac:dyDescent="0.25">
      <c r="A80" s="218" t="s">
        <v>161</v>
      </c>
      <c r="B80" s="220">
        <f>B59</f>
        <v>2.0504964484191011E-2</v>
      </c>
    </row>
    <row r="81" spans="1:4" s="52" customFormat="1" x14ac:dyDescent="0.25">
      <c r="A81" s="213" t="s">
        <v>162</v>
      </c>
      <c r="B81" s="81">
        <f>B82/$B$27</f>
        <v>0.92792968261193243</v>
      </c>
    </row>
    <row r="82" spans="1:4" s="52" customFormat="1" x14ac:dyDescent="0.25">
      <c r="A82" s="213" t="s">
        <v>163</v>
      </c>
      <c r="B82" s="80">
        <f>'6.2. Паспорт фин осв ввод'!$D$24</f>
        <v>315.87242695999998</v>
      </c>
      <c r="C82" s="175">
        <f>B35+B40+B45+B50+B55+B60+B65+B72</f>
        <v>315.87242696000004</v>
      </c>
      <c r="D82" s="175">
        <f>B82-C82</f>
        <v>0</v>
      </c>
    </row>
    <row r="83" spans="1:4" s="52" customFormat="1" x14ac:dyDescent="0.25">
      <c r="A83" s="213" t="s">
        <v>164</v>
      </c>
      <c r="B83" s="81">
        <f>$B84/'6.2. Паспорт фин осв ввод'!$C$30</f>
        <v>0.94057533908547053</v>
      </c>
    </row>
    <row r="84" spans="1:4" s="52" customFormat="1" x14ac:dyDescent="0.25">
      <c r="A84" s="213" t="s">
        <v>165</v>
      </c>
      <c r="B84" s="80">
        <f>'6.2. Паспорт фин осв ввод'!$D$30</f>
        <v>266.81423232000003</v>
      </c>
      <c r="C84" s="175">
        <f>(B36+B41+B46+B51+B56+B61+B66+B71)/1.2+B73</f>
        <v>266.81423231333338</v>
      </c>
      <c r="D84" s="175">
        <f>B84-C84</f>
        <v>6.6666530074144248E-9</v>
      </c>
    </row>
    <row r="85" spans="1:4" s="52" customFormat="1" ht="15.75" customHeight="1" x14ac:dyDescent="0.25">
      <c r="A85" s="213" t="s">
        <v>166</v>
      </c>
      <c r="B85" s="218"/>
    </row>
    <row r="86" spans="1:4" s="52" customFormat="1" x14ac:dyDescent="0.25">
      <c r="A86" s="218" t="s">
        <v>167</v>
      </c>
      <c r="B86" s="218" t="s">
        <v>249</v>
      </c>
    </row>
    <row r="87" spans="1:4" s="52" customFormat="1" x14ac:dyDescent="0.25">
      <c r="A87" s="218" t="s">
        <v>168</v>
      </c>
      <c r="B87" s="218" t="s">
        <v>466</v>
      </c>
    </row>
    <row r="88" spans="1:4" s="52" customFormat="1" x14ac:dyDescent="0.25">
      <c r="A88" s="218" t="s">
        <v>169</v>
      </c>
      <c r="B88" s="193" t="s">
        <v>519</v>
      </c>
    </row>
    <row r="89" spans="1:4" s="52" customFormat="1" x14ac:dyDescent="0.25">
      <c r="A89" s="218" t="s">
        <v>170</v>
      </c>
      <c r="B89" s="193" t="s">
        <v>520</v>
      </c>
    </row>
    <row r="90" spans="1:4" s="52" customFormat="1" ht="30" x14ac:dyDescent="0.25">
      <c r="A90" s="218" t="s">
        <v>171</v>
      </c>
      <c r="B90" s="193" t="s">
        <v>521</v>
      </c>
    </row>
    <row r="91" spans="1:4" s="52" customFormat="1" ht="30" x14ac:dyDescent="0.25">
      <c r="A91" s="218" t="s">
        <v>172</v>
      </c>
      <c r="B91" s="193" t="s">
        <v>312</v>
      </c>
    </row>
    <row r="92" spans="1:4" s="52" customFormat="1" ht="28.5" x14ac:dyDescent="0.25">
      <c r="A92" s="213" t="s">
        <v>173</v>
      </c>
      <c r="B92" s="193" t="s">
        <v>312</v>
      </c>
    </row>
    <row r="93" spans="1:4" s="52" customFormat="1" x14ac:dyDescent="0.25">
      <c r="A93" s="218" t="s">
        <v>151</v>
      </c>
      <c r="B93" s="193" t="s">
        <v>312</v>
      </c>
    </row>
    <row r="94" spans="1:4" s="52" customFormat="1" x14ac:dyDescent="0.25">
      <c r="A94" s="218" t="s">
        <v>174</v>
      </c>
      <c r="B94" s="193" t="s">
        <v>312</v>
      </c>
    </row>
    <row r="95" spans="1:4" s="52" customFormat="1" x14ac:dyDescent="0.25">
      <c r="A95" s="218" t="s">
        <v>175</v>
      </c>
      <c r="B95" s="193" t="s">
        <v>312</v>
      </c>
    </row>
    <row r="96" spans="1:4" s="52" customFormat="1" x14ac:dyDescent="0.25">
      <c r="A96" s="221" t="s">
        <v>176</v>
      </c>
      <c r="B96" s="193" t="s">
        <v>312</v>
      </c>
    </row>
    <row r="97" spans="1:2" s="52" customFormat="1" x14ac:dyDescent="0.25">
      <c r="A97" s="213" t="s">
        <v>177</v>
      </c>
      <c r="B97" s="193" t="s">
        <v>312</v>
      </c>
    </row>
    <row r="98" spans="1:2" s="52" customFormat="1" x14ac:dyDescent="0.25">
      <c r="A98" s="218" t="s">
        <v>178</v>
      </c>
      <c r="B98" s="193" t="s">
        <v>312</v>
      </c>
    </row>
    <row r="99" spans="1:2" s="52" customFormat="1" x14ac:dyDescent="0.25">
      <c r="A99" s="218" t="s">
        <v>179</v>
      </c>
      <c r="B99" s="193" t="s">
        <v>312</v>
      </c>
    </row>
    <row r="100" spans="1:2" s="52" customFormat="1" x14ac:dyDescent="0.25">
      <c r="A100" s="218" t="s">
        <v>180</v>
      </c>
      <c r="B100" s="193" t="s">
        <v>312</v>
      </c>
    </row>
    <row r="101" spans="1:2" s="52" customFormat="1" ht="21" customHeight="1" x14ac:dyDescent="0.25">
      <c r="A101" s="222" t="s">
        <v>181</v>
      </c>
      <c r="B101" s="82" t="str">
        <f>$B$26</f>
        <v>с</v>
      </c>
    </row>
    <row r="102" spans="1:2" s="52" customFormat="1" ht="28.5" x14ac:dyDescent="0.25">
      <c r="A102" s="213" t="s">
        <v>182</v>
      </c>
      <c r="B102" s="193" t="s">
        <v>312</v>
      </c>
    </row>
    <row r="103" spans="1:2" s="52" customFormat="1" x14ac:dyDescent="0.25">
      <c r="A103" s="218" t="s">
        <v>183</v>
      </c>
      <c r="B103" s="193" t="s">
        <v>312</v>
      </c>
    </row>
    <row r="104" spans="1:2" s="52" customFormat="1" x14ac:dyDescent="0.25">
      <c r="A104" s="218" t="s">
        <v>184</v>
      </c>
      <c r="B104" s="193" t="s">
        <v>312</v>
      </c>
    </row>
    <row r="105" spans="1:2" s="52" customFormat="1" x14ac:dyDescent="0.25">
      <c r="A105" s="218" t="s">
        <v>185</v>
      </c>
      <c r="B105" s="193" t="s">
        <v>312</v>
      </c>
    </row>
    <row r="106" spans="1:2" s="52" customFormat="1" x14ac:dyDescent="0.25">
      <c r="A106" s="218" t="s">
        <v>186</v>
      </c>
      <c r="B106" s="193" t="s">
        <v>312</v>
      </c>
    </row>
    <row r="107" spans="1:2" s="52" customFormat="1" x14ac:dyDescent="0.25">
      <c r="A107" s="218" t="s">
        <v>187</v>
      </c>
      <c r="B107" s="193" t="s">
        <v>312</v>
      </c>
    </row>
    <row r="110" spans="1:2" x14ac:dyDescent="0.25">
      <c r="A110" s="24"/>
      <c r="B110" s="25"/>
    </row>
    <row r="111" spans="1:2" x14ac:dyDescent="0.25">
      <c r="B111" s="26"/>
    </row>
    <row r="112" spans="1:2" x14ac:dyDescent="0.25">
      <c r="B112"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topLeftCell="U1" zoomScale="55" zoomScaleNormal="55" workbookViewId="0">
      <selection activeCell="C28" sqref="C28"/>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56" t="str">
        <f>'1. паспорт местоположение'!$A$5</f>
        <v>Год раскрытия информации: 2025 год</v>
      </c>
      <c r="B4" s="256"/>
      <c r="C4" s="256"/>
      <c r="D4" s="256"/>
      <c r="E4" s="256"/>
      <c r="F4" s="256"/>
      <c r="G4" s="256"/>
      <c r="H4" s="256"/>
      <c r="I4" s="256"/>
      <c r="J4" s="256"/>
      <c r="K4" s="256"/>
      <c r="L4" s="256"/>
      <c r="M4" s="256"/>
      <c r="N4" s="256"/>
      <c r="O4" s="256"/>
      <c r="P4" s="256"/>
      <c r="Q4" s="256"/>
      <c r="R4" s="256"/>
      <c r="S4" s="256"/>
    </row>
    <row r="5" spans="1:28" s="31" customFormat="1" ht="15.75" x14ac:dyDescent="0.2">
      <c r="A5" s="34"/>
    </row>
    <row r="6" spans="1:28" s="31" customFormat="1" ht="18.75" x14ac:dyDescent="0.2">
      <c r="A6" s="270" t="s">
        <v>5</v>
      </c>
      <c r="B6" s="270"/>
      <c r="C6" s="270"/>
      <c r="D6" s="270"/>
      <c r="E6" s="270"/>
      <c r="F6" s="270"/>
      <c r="G6" s="270"/>
      <c r="H6" s="270"/>
      <c r="I6" s="270"/>
      <c r="J6" s="270"/>
      <c r="K6" s="270"/>
      <c r="L6" s="270"/>
      <c r="M6" s="270"/>
      <c r="N6" s="270"/>
      <c r="O6" s="270"/>
      <c r="P6" s="270"/>
      <c r="Q6" s="270"/>
      <c r="R6" s="270"/>
      <c r="S6" s="270"/>
      <c r="T6" s="89"/>
      <c r="U6" s="89"/>
      <c r="V6" s="89"/>
      <c r="W6" s="89"/>
      <c r="X6" s="89"/>
      <c r="Y6" s="89"/>
      <c r="Z6" s="89"/>
      <c r="AA6" s="89"/>
      <c r="AB6" s="89"/>
    </row>
    <row r="7" spans="1:28" s="31" customFormat="1" ht="18.75" x14ac:dyDescent="0.2">
      <c r="A7" s="270"/>
      <c r="B7" s="270"/>
      <c r="C7" s="270"/>
      <c r="D7" s="270"/>
      <c r="E7" s="270"/>
      <c r="F7" s="270"/>
      <c r="G7" s="270"/>
      <c r="H7" s="270"/>
      <c r="I7" s="270"/>
      <c r="J7" s="270"/>
      <c r="K7" s="270"/>
      <c r="L7" s="270"/>
      <c r="M7" s="270"/>
      <c r="N7" s="270"/>
      <c r="O7" s="270"/>
      <c r="P7" s="270"/>
      <c r="Q7" s="270"/>
      <c r="R7" s="270"/>
      <c r="S7" s="270"/>
      <c r="T7" s="89"/>
      <c r="U7" s="89"/>
      <c r="V7" s="89"/>
      <c r="W7" s="89"/>
      <c r="X7" s="89"/>
      <c r="Y7" s="89"/>
      <c r="Z7" s="89"/>
      <c r="AA7" s="89"/>
      <c r="AB7" s="89"/>
    </row>
    <row r="8" spans="1:28" s="31" customFormat="1" ht="18.75" x14ac:dyDescent="0.2">
      <c r="A8" s="271" t="s">
        <v>249</v>
      </c>
      <c r="B8" s="271"/>
      <c r="C8" s="271"/>
      <c r="D8" s="271"/>
      <c r="E8" s="271"/>
      <c r="F8" s="271"/>
      <c r="G8" s="271"/>
      <c r="H8" s="271"/>
      <c r="I8" s="271"/>
      <c r="J8" s="271"/>
      <c r="K8" s="271"/>
      <c r="L8" s="271"/>
      <c r="M8" s="271"/>
      <c r="N8" s="271"/>
      <c r="O8" s="271"/>
      <c r="P8" s="271"/>
      <c r="Q8" s="271"/>
      <c r="R8" s="271"/>
      <c r="S8" s="271"/>
      <c r="T8" s="89"/>
      <c r="U8" s="89"/>
      <c r="V8" s="89"/>
      <c r="W8" s="89"/>
      <c r="X8" s="89"/>
      <c r="Y8" s="89"/>
      <c r="Z8" s="89"/>
      <c r="AA8" s="89"/>
      <c r="AB8" s="89"/>
    </row>
    <row r="9" spans="1:28" s="31" customFormat="1" ht="18.75" x14ac:dyDescent="0.2">
      <c r="A9" s="274" t="s">
        <v>4</v>
      </c>
      <c r="B9" s="274"/>
      <c r="C9" s="274"/>
      <c r="D9" s="274"/>
      <c r="E9" s="274"/>
      <c r="F9" s="274"/>
      <c r="G9" s="274"/>
      <c r="H9" s="274"/>
      <c r="I9" s="274"/>
      <c r="J9" s="274"/>
      <c r="K9" s="274"/>
      <c r="L9" s="274"/>
      <c r="M9" s="274"/>
      <c r="N9" s="274"/>
      <c r="O9" s="274"/>
      <c r="P9" s="274"/>
      <c r="Q9" s="274"/>
      <c r="R9" s="274"/>
      <c r="S9" s="274"/>
      <c r="T9" s="89"/>
      <c r="U9" s="89"/>
      <c r="V9" s="89"/>
      <c r="W9" s="89"/>
      <c r="X9" s="89"/>
      <c r="Y9" s="89"/>
      <c r="Z9" s="89"/>
      <c r="AA9" s="89"/>
      <c r="AB9" s="89"/>
    </row>
    <row r="10" spans="1:28" s="31" customFormat="1" ht="18.75" x14ac:dyDescent="0.2">
      <c r="A10" s="270"/>
      <c r="B10" s="270"/>
      <c r="C10" s="270"/>
      <c r="D10" s="270"/>
      <c r="E10" s="270"/>
      <c r="F10" s="270"/>
      <c r="G10" s="270"/>
      <c r="H10" s="270"/>
      <c r="I10" s="270"/>
      <c r="J10" s="270"/>
      <c r="K10" s="270"/>
      <c r="L10" s="270"/>
      <c r="M10" s="270"/>
      <c r="N10" s="270"/>
      <c r="O10" s="270"/>
      <c r="P10" s="270"/>
      <c r="Q10" s="270"/>
      <c r="R10" s="270"/>
      <c r="S10" s="270"/>
      <c r="T10" s="89"/>
      <c r="U10" s="89"/>
      <c r="V10" s="89"/>
      <c r="W10" s="89"/>
      <c r="X10" s="89"/>
      <c r="Y10" s="89"/>
      <c r="Z10" s="89"/>
      <c r="AA10" s="89"/>
      <c r="AB10" s="89"/>
    </row>
    <row r="11" spans="1:28" s="31" customFormat="1" ht="18.75" x14ac:dyDescent="0.2">
      <c r="A11" s="271" t="str">
        <f>'1. паспорт местоположение'!A12:C12</f>
        <v>K_Che303</v>
      </c>
      <c r="B11" s="271"/>
      <c r="C11" s="271"/>
      <c r="D11" s="271"/>
      <c r="E11" s="271"/>
      <c r="F11" s="271"/>
      <c r="G11" s="271"/>
      <c r="H11" s="271"/>
      <c r="I11" s="271"/>
      <c r="J11" s="271"/>
      <c r="K11" s="271"/>
      <c r="L11" s="271"/>
      <c r="M11" s="271"/>
      <c r="N11" s="271"/>
      <c r="O11" s="271"/>
      <c r="P11" s="271"/>
      <c r="Q11" s="271"/>
      <c r="R11" s="271"/>
      <c r="S11" s="271"/>
      <c r="T11" s="89"/>
      <c r="U11" s="89"/>
      <c r="V11" s="89"/>
      <c r="W11" s="89"/>
      <c r="X11" s="89"/>
      <c r="Y11" s="89"/>
      <c r="Z11" s="89"/>
      <c r="AA11" s="89"/>
      <c r="AB11" s="89"/>
    </row>
    <row r="12" spans="1:28" s="31" customFormat="1" ht="18.75" x14ac:dyDescent="0.2">
      <c r="A12" s="274" t="s">
        <v>3</v>
      </c>
      <c r="B12" s="274"/>
      <c r="C12" s="274"/>
      <c r="D12" s="274"/>
      <c r="E12" s="274"/>
      <c r="F12" s="274"/>
      <c r="G12" s="274"/>
      <c r="H12" s="274"/>
      <c r="I12" s="274"/>
      <c r="J12" s="274"/>
      <c r="K12" s="274"/>
      <c r="L12" s="274"/>
      <c r="M12" s="274"/>
      <c r="N12" s="274"/>
      <c r="O12" s="274"/>
      <c r="P12" s="274"/>
      <c r="Q12" s="274"/>
      <c r="R12" s="274"/>
      <c r="S12" s="274"/>
      <c r="T12" s="89"/>
      <c r="U12" s="89"/>
      <c r="V12" s="89"/>
      <c r="W12" s="89"/>
      <c r="X12" s="89"/>
      <c r="Y12" s="89"/>
      <c r="Z12" s="89"/>
      <c r="AA12" s="89"/>
      <c r="AB12" s="89"/>
    </row>
    <row r="13" spans="1:28" s="90"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37"/>
      <c r="U13" s="37"/>
      <c r="V13" s="37"/>
      <c r="W13" s="37"/>
      <c r="X13" s="37"/>
      <c r="Y13" s="37"/>
      <c r="Z13" s="37"/>
      <c r="AA13" s="37"/>
      <c r="AB13" s="37"/>
    </row>
    <row r="14" spans="1:28" s="92" customFormat="1" ht="20.25" x14ac:dyDescent="0.2">
      <c r="A14" s="27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73"/>
      <c r="C14" s="273"/>
      <c r="D14" s="273"/>
      <c r="E14" s="273"/>
      <c r="F14" s="273"/>
      <c r="G14" s="273"/>
      <c r="H14" s="273"/>
      <c r="I14" s="273"/>
      <c r="J14" s="273"/>
      <c r="K14" s="273"/>
      <c r="L14" s="273"/>
      <c r="M14" s="273"/>
      <c r="N14" s="273"/>
      <c r="O14" s="273"/>
      <c r="P14" s="273"/>
      <c r="Q14" s="273"/>
      <c r="R14" s="273"/>
      <c r="S14" s="273"/>
      <c r="T14" s="91"/>
      <c r="U14" s="91"/>
      <c r="V14" s="91"/>
      <c r="W14" s="91"/>
      <c r="X14" s="91"/>
      <c r="Y14" s="91"/>
      <c r="Z14" s="91"/>
      <c r="AA14" s="91"/>
      <c r="AB14" s="91"/>
    </row>
    <row r="15" spans="1:28" s="92" customFormat="1" ht="15" customHeight="1" x14ac:dyDescent="0.2">
      <c r="A15" s="274" t="s">
        <v>2</v>
      </c>
      <c r="B15" s="274"/>
      <c r="C15" s="274"/>
      <c r="D15" s="274"/>
      <c r="E15" s="274"/>
      <c r="F15" s="274"/>
      <c r="G15" s="274"/>
      <c r="H15" s="274"/>
      <c r="I15" s="274"/>
      <c r="J15" s="274"/>
      <c r="K15" s="274"/>
      <c r="L15" s="274"/>
      <c r="M15" s="274"/>
      <c r="N15" s="274"/>
      <c r="O15" s="274"/>
      <c r="P15" s="274"/>
      <c r="Q15" s="274"/>
      <c r="R15" s="274"/>
      <c r="S15" s="274"/>
      <c r="T15" s="93"/>
      <c r="U15" s="93"/>
      <c r="V15" s="93"/>
      <c r="W15" s="93"/>
      <c r="X15" s="93"/>
      <c r="Y15" s="93"/>
      <c r="Z15" s="93"/>
      <c r="AA15" s="93"/>
      <c r="AB15" s="93"/>
    </row>
    <row r="16" spans="1:28" s="92"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38"/>
      <c r="U16" s="38"/>
      <c r="V16" s="38"/>
      <c r="W16" s="38"/>
      <c r="X16" s="38"/>
      <c r="Y16" s="38"/>
    </row>
    <row r="17" spans="1:28" s="92" customFormat="1" ht="45.75" customHeight="1" x14ac:dyDescent="0.2">
      <c r="A17" s="266" t="s">
        <v>292</v>
      </c>
      <c r="B17" s="266"/>
      <c r="C17" s="266"/>
      <c r="D17" s="266"/>
      <c r="E17" s="266"/>
      <c r="F17" s="266"/>
      <c r="G17" s="266"/>
      <c r="H17" s="266"/>
      <c r="I17" s="266"/>
      <c r="J17" s="266"/>
      <c r="K17" s="266"/>
      <c r="L17" s="266"/>
      <c r="M17" s="266"/>
      <c r="N17" s="266"/>
      <c r="O17" s="266"/>
      <c r="P17" s="266"/>
      <c r="Q17" s="266"/>
      <c r="R17" s="266"/>
      <c r="S17" s="266"/>
      <c r="T17" s="94"/>
      <c r="U17" s="94"/>
      <c r="V17" s="94"/>
      <c r="W17" s="94"/>
      <c r="X17" s="94"/>
      <c r="Y17" s="94"/>
      <c r="Z17" s="94"/>
      <c r="AA17" s="94"/>
      <c r="AB17" s="94"/>
    </row>
    <row r="18" spans="1:28" s="9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38"/>
      <c r="U18" s="38"/>
      <c r="V18" s="38"/>
      <c r="W18" s="38"/>
      <c r="X18" s="38"/>
      <c r="Y18" s="38"/>
    </row>
    <row r="19" spans="1:28" s="92" customFormat="1" ht="54" customHeight="1" x14ac:dyDescent="0.2">
      <c r="A19" s="264" t="s">
        <v>1</v>
      </c>
      <c r="B19" s="264" t="s">
        <v>293</v>
      </c>
      <c r="C19" s="268" t="s">
        <v>294</v>
      </c>
      <c r="D19" s="264" t="s">
        <v>295</v>
      </c>
      <c r="E19" s="264" t="s">
        <v>296</v>
      </c>
      <c r="F19" s="264" t="s">
        <v>297</v>
      </c>
      <c r="G19" s="264" t="s">
        <v>298</v>
      </c>
      <c r="H19" s="264" t="s">
        <v>299</v>
      </c>
      <c r="I19" s="264" t="s">
        <v>300</v>
      </c>
      <c r="J19" s="264" t="s">
        <v>301</v>
      </c>
      <c r="K19" s="264" t="s">
        <v>302</v>
      </c>
      <c r="L19" s="264" t="s">
        <v>303</v>
      </c>
      <c r="M19" s="264" t="s">
        <v>304</v>
      </c>
      <c r="N19" s="264" t="s">
        <v>305</v>
      </c>
      <c r="O19" s="264" t="s">
        <v>306</v>
      </c>
      <c r="P19" s="264" t="s">
        <v>307</v>
      </c>
      <c r="Q19" s="264" t="s">
        <v>308</v>
      </c>
      <c r="R19" s="264"/>
      <c r="S19" s="265" t="s">
        <v>309</v>
      </c>
      <c r="T19" s="38"/>
      <c r="U19" s="38"/>
      <c r="V19" s="38"/>
      <c r="W19" s="38"/>
      <c r="X19" s="38"/>
      <c r="Y19" s="38"/>
    </row>
    <row r="20" spans="1:28" s="92" customFormat="1" ht="180.75" customHeight="1" x14ac:dyDescent="0.2">
      <c r="A20" s="264"/>
      <c r="B20" s="264"/>
      <c r="C20" s="269"/>
      <c r="D20" s="264"/>
      <c r="E20" s="264"/>
      <c r="F20" s="264"/>
      <c r="G20" s="264"/>
      <c r="H20" s="264"/>
      <c r="I20" s="264"/>
      <c r="J20" s="264"/>
      <c r="K20" s="264"/>
      <c r="L20" s="264"/>
      <c r="M20" s="264"/>
      <c r="N20" s="264"/>
      <c r="O20" s="264"/>
      <c r="P20" s="264"/>
      <c r="Q20" s="95" t="s">
        <v>310</v>
      </c>
      <c r="R20" s="41" t="s">
        <v>311</v>
      </c>
      <c r="S20" s="265"/>
      <c r="T20" s="37"/>
      <c r="U20" s="37"/>
      <c r="V20" s="37"/>
      <c r="W20" s="37"/>
      <c r="X20" s="37"/>
      <c r="Y20" s="37"/>
      <c r="Z20" s="98"/>
      <c r="AA20" s="98"/>
      <c r="AB20" s="98"/>
    </row>
    <row r="21" spans="1:28" s="92" customFormat="1" ht="18.75" x14ac:dyDescent="0.2">
      <c r="A21" s="95">
        <v>1</v>
      </c>
      <c r="B21" s="138">
        <v>2</v>
      </c>
      <c r="C21" s="95">
        <v>3</v>
      </c>
      <c r="D21" s="138">
        <v>4</v>
      </c>
      <c r="E21" s="95">
        <v>5</v>
      </c>
      <c r="F21" s="138">
        <v>6</v>
      </c>
      <c r="G21" s="95">
        <v>7</v>
      </c>
      <c r="H21" s="138">
        <v>8</v>
      </c>
      <c r="I21" s="95">
        <v>9</v>
      </c>
      <c r="J21" s="138">
        <v>10</v>
      </c>
      <c r="K21" s="95">
        <v>11</v>
      </c>
      <c r="L21" s="138">
        <v>12</v>
      </c>
      <c r="M21" s="95">
        <v>13</v>
      </c>
      <c r="N21" s="138">
        <v>14</v>
      </c>
      <c r="O21" s="95">
        <v>15</v>
      </c>
      <c r="P21" s="138">
        <v>16</v>
      </c>
      <c r="Q21" s="95">
        <v>17</v>
      </c>
      <c r="R21" s="138">
        <v>18</v>
      </c>
      <c r="S21" s="95">
        <v>19</v>
      </c>
      <c r="T21" s="37"/>
      <c r="U21" s="37"/>
      <c r="V21" s="37"/>
      <c r="W21" s="37"/>
      <c r="X21" s="37"/>
      <c r="Y21" s="37"/>
      <c r="Z21" s="98"/>
      <c r="AA21" s="98"/>
      <c r="AB21" s="98"/>
    </row>
    <row r="22" spans="1:28" s="157" customFormat="1" ht="170.25" customHeight="1" x14ac:dyDescent="0.25">
      <c r="A22" s="150">
        <v>1</v>
      </c>
      <c r="B22" s="149" t="s">
        <v>531</v>
      </c>
      <c r="C22" s="149" t="s">
        <v>452</v>
      </c>
      <c r="D22" s="149" t="s">
        <v>532</v>
      </c>
      <c r="E22" s="149" t="s">
        <v>472</v>
      </c>
      <c r="F22" s="149" t="s">
        <v>533</v>
      </c>
      <c r="G22" s="149" t="s">
        <v>534</v>
      </c>
      <c r="H22" s="149">
        <v>3.2</v>
      </c>
      <c r="I22" s="153">
        <v>18.7</v>
      </c>
      <c r="J22" s="149">
        <v>21.9</v>
      </c>
      <c r="K22" s="118">
        <v>10</v>
      </c>
      <c r="L22" s="118">
        <v>2</v>
      </c>
      <c r="M22" s="149">
        <v>4</v>
      </c>
      <c r="N22" s="149" t="s">
        <v>312</v>
      </c>
      <c r="O22" s="149" t="s">
        <v>312</v>
      </c>
      <c r="P22" s="149" t="s">
        <v>312</v>
      </c>
      <c r="Q22" s="118" t="s">
        <v>535</v>
      </c>
      <c r="R22" s="149" t="s">
        <v>312</v>
      </c>
      <c r="S22" s="154">
        <v>0</v>
      </c>
      <c r="T22" s="155"/>
      <c r="U22" s="155"/>
      <c r="V22" s="155"/>
      <c r="W22" s="155"/>
      <c r="X22" s="155"/>
      <c r="Y22" s="155"/>
      <c r="Z22" s="156"/>
      <c r="AA22" s="156"/>
      <c r="AB22" s="156"/>
    </row>
    <row r="23" spans="1:28" s="142"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3"/>
      <c r="S23" s="143"/>
      <c r="T23" s="140"/>
      <c r="U23" s="140"/>
      <c r="V23" s="140"/>
      <c r="W23" s="140"/>
      <c r="X23" s="141"/>
      <c r="Y23" s="141"/>
      <c r="Z23" s="141"/>
      <c r="AA23" s="141"/>
      <c r="AB23" s="141"/>
    </row>
    <row r="24" spans="1:28" ht="20.25" customHeight="1" x14ac:dyDescent="0.25">
      <c r="A24" s="144"/>
      <c r="B24" s="139" t="s">
        <v>451</v>
      </c>
      <c r="C24" s="139"/>
      <c r="D24" s="139"/>
      <c r="E24" s="144" t="s">
        <v>452</v>
      </c>
      <c r="F24" s="144" t="s">
        <v>452</v>
      </c>
      <c r="G24" s="144" t="s">
        <v>452</v>
      </c>
      <c r="H24" s="144"/>
      <c r="I24" s="144"/>
      <c r="J24" s="144"/>
      <c r="K24" s="144"/>
      <c r="L24" s="144"/>
      <c r="M24" s="144"/>
      <c r="N24" s="144"/>
      <c r="O24" s="144"/>
      <c r="P24" s="144"/>
      <c r="Q24" s="145"/>
      <c r="R24" s="146"/>
      <c r="S24" s="146"/>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5" customWidth="1"/>
    <col min="2" max="2" width="34.42578125" style="125" customWidth="1"/>
    <col min="3" max="3" width="45.140625" style="125" customWidth="1"/>
    <col min="4" max="4" width="43" style="125" customWidth="1"/>
    <col min="5" max="5" width="11.140625" style="125" customWidth="1"/>
    <col min="6" max="6" width="27.28515625" style="125" customWidth="1"/>
    <col min="7" max="7" width="8.7109375" style="125" customWidth="1"/>
    <col min="8" max="8" width="30.28515625" style="125" customWidth="1"/>
    <col min="9" max="9" width="9.5703125" style="125" customWidth="1"/>
    <col min="10" max="10" width="8.7109375" style="125" customWidth="1"/>
    <col min="11" max="11" width="10.28515625" style="125" customWidth="1"/>
    <col min="12" max="15" width="8.7109375" style="125" customWidth="1"/>
    <col min="16" max="16" width="19.42578125" style="125" customWidth="1"/>
    <col min="17" max="17" width="21.7109375" style="125" customWidth="1"/>
    <col min="18" max="18" width="22" style="125" customWidth="1"/>
    <col min="19" max="19" width="19.7109375" style="125" customWidth="1"/>
    <col min="20" max="20" width="18.42578125" style="125" customWidth="1"/>
    <col min="21" max="237" width="10.7109375" style="125"/>
    <col min="238" max="242" width="15.7109375" style="125" customWidth="1"/>
    <col min="243" max="246" width="12.7109375" style="125" customWidth="1"/>
    <col min="247" max="250" width="15.7109375" style="125" customWidth="1"/>
    <col min="251" max="251" width="22.85546875" style="125" customWidth="1"/>
    <col min="252" max="252" width="20.7109375" style="125" customWidth="1"/>
    <col min="253" max="253" width="16.7109375" style="125" customWidth="1"/>
    <col min="254" max="16384" width="10.7109375" style="125"/>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56" t="str">
        <f>'1. паспорт местоположение'!$A$5</f>
        <v>Год раскрытия информации: 2025 год</v>
      </c>
      <c r="B6" s="256"/>
      <c r="C6" s="256"/>
      <c r="D6" s="256"/>
      <c r="E6" s="256"/>
      <c r="F6" s="256"/>
      <c r="G6" s="256"/>
      <c r="H6" s="256"/>
      <c r="I6" s="256"/>
      <c r="J6" s="256"/>
      <c r="K6" s="256"/>
      <c r="L6" s="256"/>
      <c r="M6" s="256"/>
      <c r="N6" s="256"/>
      <c r="O6" s="256"/>
      <c r="P6" s="256"/>
      <c r="Q6" s="256"/>
      <c r="R6" s="256"/>
      <c r="S6" s="256"/>
      <c r="T6" s="256"/>
    </row>
    <row r="7" spans="1:20" s="2" customFormat="1" x14ac:dyDescent="0.2">
      <c r="A7" s="111"/>
    </row>
    <row r="8" spans="1:20" s="2" customFormat="1" x14ac:dyDescent="0.2">
      <c r="A8" s="294" t="s">
        <v>5</v>
      </c>
      <c r="B8" s="294"/>
      <c r="C8" s="294"/>
      <c r="D8" s="294"/>
      <c r="E8" s="294"/>
      <c r="F8" s="294"/>
      <c r="G8" s="294"/>
      <c r="H8" s="294"/>
      <c r="I8" s="294"/>
      <c r="J8" s="294"/>
      <c r="K8" s="294"/>
      <c r="L8" s="294"/>
      <c r="M8" s="294"/>
      <c r="N8" s="294"/>
      <c r="O8" s="294"/>
      <c r="P8" s="294"/>
      <c r="Q8" s="294"/>
      <c r="R8" s="294"/>
      <c r="S8" s="294"/>
      <c r="T8" s="294"/>
    </row>
    <row r="9" spans="1:20" s="2" customFormat="1" x14ac:dyDescent="0.2">
      <c r="A9" s="294"/>
      <c r="B9" s="294"/>
      <c r="C9" s="294"/>
      <c r="D9" s="294"/>
      <c r="E9" s="294"/>
      <c r="F9" s="294"/>
      <c r="G9" s="294"/>
      <c r="H9" s="294"/>
      <c r="I9" s="294"/>
      <c r="J9" s="294"/>
      <c r="K9" s="294"/>
      <c r="L9" s="294"/>
      <c r="M9" s="294"/>
      <c r="N9" s="294"/>
      <c r="O9" s="294"/>
      <c r="P9" s="294"/>
      <c r="Q9" s="294"/>
      <c r="R9" s="294"/>
      <c r="S9" s="294"/>
      <c r="T9" s="294"/>
    </row>
    <row r="10" spans="1:20" s="2" customFormat="1" ht="18.75" customHeight="1" x14ac:dyDescent="0.2">
      <c r="A10" s="261" t="s">
        <v>249</v>
      </c>
      <c r="B10" s="261"/>
      <c r="C10" s="261"/>
      <c r="D10" s="261"/>
      <c r="E10" s="261"/>
      <c r="F10" s="261"/>
      <c r="G10" s="261"/>
      <c r="H10" s="261"/>
      <c r="I10" s="261"/>
      <c r="J10" s="261"/>
      <c r="K10" s="261"/>
      <c r="L10" s="261"/>
      <c r="M10" s="261"/>
      <c r="N10" s="261"/>
      <c r="O10" s="261"/>
      <c r="P10" s="261"/>
      <c r="Q10" s="261"/>
      <c r="R10" s="261"/>
      <c r="S10" s="261"/>
      <c r="T10" s="261"/>
    </row>
    <row r="11" spans="1:20" s="2" customFormat="1" ht="18.75" customHeight="1" x14ac:dyDescent="0.2">
      <c r="A11" s="262" t="s">
        <v>4</v>
      </c>
      <c r="B11" s="262"/>
      <c r="C11" s="262"/>
      <c r="D11" s="262"/>
      <c r="E11" s="262"/>
      <c r="F11" s="262"/>
      <c r="G11" s="262"/>
      <c r="H11" s="262"/>
      <c r="I11" s="262"/>
      <c r="J11" s="262"/>
      <c r="K11" s="262"/>
      <c r="L11" s="262"/>
      <c r="M11" s="262"/>
      <c r="N11" s="262"/>
      <c r="O11" s="262"/>
      <c r="P11" s="262"/>
      <c r="Q11" s="262"/>
      <c r="R11" s="262"/>
      <c r="S11" s="262"/>
      <c r="T11" s="262"/>
    </row>
    <row r="12" spans="1:20" s="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2" customFormat="1" ht="18.75" customHeight="1" x14ac:dyDescent="0.2">
      <c r="A13" s="261" t="str">
        <f>'1. паспорт местоположение'!A12:C12</f>
        <v>K_Che303</v>
      </c>
      <c r="B13" s="261"/>
      <c r="C13" s="261"/>
      <c r="D13" s="261"/>
      <c r="E13" s="261"/>
      <c r="F13" s="261"/>
      <c r="G13" s="261"/>
      <c r="H13" s="261"/>
      <c r="I13" s="261"/>
      <c r="J13" s="261"/>
      <c r="K13" s="261"/>
      <c r="L13" s="261"/>
      <c r="M13" s="261"/>
      <c r="N13" s="261"/>
      <c r="O13" s="261"/>
      <c r="P13" s="261"/>
      <c r="Q13" s="261"/>
      <c r="R13" s="261"/>
      <c r="S13" s="261"/>
      <c r="T13" s="261"/>
    </row>
    <row r="14" spans="1:20" s="2" customFormat="1" ht="18.75" customHeight="1" x14ac:dyDescent="0.2">
      <c r="A14" s="262" t="s">
        <v>3</v>
      </c>
      <c r="B14" s="262"/>
      <c r="C14" s="262"/>
      <c r="D14" s="262"/>
      <c r="E14" s="262"/>
      <c r="F14" s="262"/>
      <c r="G14" s="262"/>
      <c r="H14" s="262"/>
      <c r="I14" s="262"/>
      <c r="J14" s="262"/>
      <c r="K14" s="262"/>
      <c r="L14" s="262"/>
      <c r="M14" s="262"/>
      <c r="N14" s="262"/>
      <c r="O14" s="262"/>
      <c r="P14" s="262"/>
      <c r="Q14" s="262"/>
      <c r="R14" s="262"/>
      <c r="S14" s="262"/>
      <c r="T14" s="262"/>
    </row>
    <row r="15" spans="1:20" s="113" customFormat="1" ht="15.75" customHeight="1" x14ac:dyDescent="0.2">
      <c r="A15" s="292"/>
      <c r="B15" s="292"/>
      <c r="C15" s="292"/>
      <c r="D15" s="292"/>
      <c r="E15" s="292"/>
      <c r="F15" s="292"/>
      <c r="G15" s="292"/>
      <c r="H15" s="292"/>
      <c r="I15" s="292"/>
      <c r="J15" s="292"/>
      <c r="K15" s="292"/>
      <c r="L15" s="292"/>
      <c r="M15" s="292"/>
      <c r="N15" s="292"/>
      <c r="O15" s="292"/>
      <c r="P15" s="292"/>
      <c r="Q15" s="292"/>
      <c r="R15" s="292"/>
      <c r="S15" s="292"/>
      <c r="T15" s="292"/>
    </row>
    <row r="16" spans="1:20" s="114" customFormat="1" x14ac:dyDescent="0.2">
      <c r="A16" s="261"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6" s="261"/>
      <c r="C16" s="261"/>
      <c r="D16" s="261"/>
      <c r="E16" s="261"/>
      <c r="F16" s="261"/>
      <c r="G16" s="261"/>
      <c r="H16" s="261"/>
      <c r="I16" s="261"/>
      <c r="J16" s="261"/>
      <c r="K16" s="261"/>
      <c r="L16" s="261"/>
      <c r="M16" s="261"/>
      <c r="N16" s="261"/>
      <c r="O16" s="261"/>
      <c r="P16" s="261"/>
      <c r="Q16" s="261"/>
      <c r="R16" s="261"/>
      <c r="S16" s="261"/>
      <c r="T16" s="261"/>
    </row>
    <row r="17" spans="1:256" s="114" customFormat="1" ht="15" customHeight="1" x14ac:dyDescent="0.2">
      <c r="A17" s="262" t="s">
        <v>2</v>
      </c>
      <c r="B17" s="262"/>
      <c r="C17" s="262"/>
      <c r="D17" s="262"/>
      <c r="E17" s="262"/>
      <c r="F17" s="262"/>
      <c r="G17" s="262"/>
      <c r="H17" s="262"/>
      <c r="I17" s="262"/>
      <c r="J17" s="262"/>
      <c r="K17" s="262"/>
      <c r="L17" s="262"/>
      <c r="M17" s="262"/>
      <c r="N17" s="262"/>
      <c r="O17" s="262"/>
      <c r="P17" s="262"/>
      <c r="Q17" s="262"/>
      <c r="R17" s="262"/>
      <c r="S17" s="262"/>
      <c r="T17" s="262"/>
    </row>
    <row r="18" spans="1:256" s="114"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row>
    <row r="19" spans="1:256" s="114" customFormat="1" ht="15" customHeight="1" x14ac:dyDescent="0.2">
      <c r="A19" s="277" t="s">
        <v>261</v>
      </c>
      <c r="B19" s="277"/>
      <c r="C19" s="277"/>
      <c r="D19" s="277"/>
      <c r="E19" s="277"/>
      <c r="F19" s="277"/>
      <c r="G19" s="277"/>
      <c r="H19" s="277"/>
      <c r="I19" s="277"/>
      <c r="J19" s="277"/>
      <c r="K19" s="277"/>
      <c r="L19" s="277"/>
      <c r="M19" s="277"/>
      <c r="N19" s="277"/>
      <c r="O19" s="277"/>
      <c r="P19" s="277"/>
      <c r="Q19" s="277"/>
      <c r="R19" s="277"/>
      <c r="S19" s="277"/>
      <c r="T19" s="277"/>
    </row>
    <row r="20" spans="1:256" s="127"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256" ht="46.5" customHeight="1" x14ac:dyDescent="0.25">
      <c r="A21" s="279" t="s">
        <v>1</v>
      </c>
      <c r="B21" s="282" t="s">
        <v>262</v>
      </c>
      <c r="C21" s="283"/>
      <c r="D21" s="286" t="s">
        <v>263</v>
      </c>
      <c r="E21" s="282" t="s">
        <v>264</v>
      </c>
      <c r="F21" s="283"/>
      <c r="G21" s="282" t="s">
        <v>265</v>
      </c>
      <c r="H21" s="283"/>
      <c r="I21" s="282" t="s">
        <v>266</v>
      </c>
      <c r="J21" s="283"/>
      <c r="K21" s="286" t="s">
        <v>267</v>
      </c>
      <c r="L21" s="282" t="s">
        <v>268</v>
      </c>
      <c r="M21" s="283"/>
      <c r="N21" s="282" t="s">
        <v>269</v>
      </c>
      <c r="O21" s="283"/>
      <c r="P21" s="286" t="s">
        <v>270</v>
      </c>
      <c r="Q21" s="289" t="s">
        <v>35</v>
      </c>
      <c r="R21" s="291"/>
      <c r="S21" s="289" t="s">
        <v>34</v>
      </c>
      <c r="T21" s="290"/>
    </row>
    <row r="22" spans="1:256" ht="204.75" customHeight="1" x14ac:dyDescent="0.25">
      <c r="A22" s="280"/>
      <c r="B22" s="284"/>
      <c r="C22" s="285"/>
      <c r="D22" s="287"/>
      <c r="E22" s="284"/>
      <c r="F22" s="285"/>
      <c r="G22" s="284"/>
      <c r="H22" s="285"/>
      <c r="I22" s="284"/>
      <c r="J22" s="285"/>
      <c r="K22" s="288"/>
      <c r="L22" s="284"/>
      <c r="M22" s="285"/>
      <c r="N22" s="284"/>
      <c r="O22" s="285"/>
      <c r="P22" s="288"/>
      <c r="Q22" s="40" t="s">
        <v>33</v>
      </c>
      <c r="R22" s="40" t="s">
        <v>236</v>
      </c>
      <c r="S22" s="40" t="s">
        <v>32</v>
      </c>
      <c r="T22" s="40" t="s">
        <v>31</v>
      </c>
    </row>
    <row r="23" spans="1:256" ht="51.75" customHeight="1" x14ac:dyDescent="0.25">
      <c r="A23" s="281"/>
      <c r="B23" s="40" t="s">
        <v>29</v>
      </c>
      <c r="C23" s="40" t="s">
        <v>30</v>
      </c>
      <c r="D23" s="288"/>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ht="78.75" x14ac:dyDescent="0.25">
      <c r="A25" s="165">
        <v>1</v>
      </c>
      <c r="B25" s="163" t="s">
        <v>534</v>
      </c>
      <c r="C25" s="163" t="s">
        <v>534</v>
      </c>
      <c r="D25" s="163" t="s">
        <v>536</v>
      </c>
      <c r="E25" s="163" t="s">
        <v>537</v>
      </c>
      <c r="F25" s="163" t="s">
        <v>538</v>
      </c>
      <c r="G25" s="163" t="s">
        <v>539</v>
      </c>
      <c r="H25" s="163" t="s">
        <v>540</v>
      </c>
      <c r="I25" s="163">
        <v>2000</v>
      </c>
      <c r="J25" s="163" t="s">
        <v>541</v>
      </c>
      <c r="K25" s="163">
        <v>2002</v>
      </c>
      <c r="L25" s="163">
        <v>35</v>
      </c>
      <c r="M25" s="163">
        <v>35</v>
      </c>
      <c r="N25" s="163">
        <v>4</v>
      </c>
      <c r="O25" s="163">
        <v>8</v>
      </c>
      <c r="P25" s="163" t="s">
        <v>542</v>
      </c>
      <c r="Q25" s="163" t="s">
        <v>543</v>
      </c>
      <c r="R25" s="163" t="s">
        <v>544</v>
      </c>
      <c r="S25" s="163" t="s">
        <v>545</v>
      </c>
      <c r="T25" s="163" t="s">
        <v>545</v>
      </c>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6" spans="1:256" s="158" customFormat="1" x14ac:dyDescent="0.25">
      <c r="A26" s="164"/>
      <c r="B26" s="164"/>
      <c r="C26" s="164"/>
      <c r="D26" s="164"/>
      <c r="E26" s="164"/>
      <c r="F26" s="164"/>
      <c r="G26" s="164"/>
      <c r="H26" s="164"/>
      <c r="I26" s="164"/>
      <c r="J26" s="164"/>
      <c r="K26" s="164"/>
      <c r="L26" s="164"/>
      <c r="M26" s="164"/>
      <c r="N26" s="164"/>
      <c r="O26" s="164"/>
      <c r="P26" s="164"/>
      <c r="Q26" s="164"/>
      <c r="R26" s="164"/>
      <c r="S26" s="164"/>
      <c r="T26" s="164"/>
    </row>
    <row r="27" spans="1:256" s="130" customFormat="1" ht="21.75" customHeight="1" x14ac:dyDescent="0.2">
      <c r="B27" s="129"/>
      <c r="C27" s="129"/>
      <c r="K27" s="129"/>
    </row>
    <row r="28" spans="1:256" s="130" customFormat="1" x14ac:dyDescent="0.25">
      <c r="B28" s="133" t="s">
        <v>271</v>
      </c>
      <c r="C28" s="133"/>
      <c r="D28" s="133"/>
      <c r="E28" s="133"/>
      <c r="F28" s="133"/>
      <c r="G28" s="133"/>
      <c r="H28" s="133"/>
      <c r="I28" s="133"/>
      <c r="J28" s="133"/>
      <c r="K28" s="133"/>
      <c r="L28" s="133"/>
      <c r="M28" s="133"/>
      <c r="N28" s="133"/>
      <c r="O28" s="133"/>
      <c r="P28" s="133"/>
      <c r="Q28" s="133"/>
      <c r="R28" s="133"/>
    </row>
    <row r="29" spans="1:256" x14ac:dyDescent="0.25">
      <c r="B29" s="276" t="s">
        <v>272</v>
      </c>
      <c r="C29" s="276"/>
      <c r="D29" s="276"/>
      <c r="E29" s="276"/>
      <c r="F29" s="276"/>
      <c r="G29" s="276"/>
      <c r="H29" s="276"/>
      <c r="I29" s="276"/>
      <c r="J29" s="276"/>
      <c r="K29" s="276"/>
      <c r="L29" s="276"/>
      <c r="M29" s="276"/>
      <c r="N29" s="276"/>
      <c r="O29" s="276"/>
      <c r="P29" s="276"/>
      <c r="Q29" s="276"/>
      <c r="R29" s="276"/>
    </row>
    <row r="30" spans="1:256" x14ac:dyDescent="0.25">
      <c r="B30" s="133"/>
      <c r="C30" s="133"/>
      <c r="D30" s="133"/>
      <c r="E30" s="133"/>
      <c r="F30" s="133"/>
      <c r="G30" s="133"/>
      <c r="H30" s="133"/>
      <c r="I30" s="133"/>
      <c r="J30" s="133"/>
      <c r="K30" s="133"/>
      <c r="L30" s="133"/>
      <c r="M30" s="133"/>
      <c r="N30" s="133"/>
      <c r="O30" s="133"/>
      <c r="P30" s="133"/>
      <c r="Q30" s="133"/>
      <c r="R30" s="133"/>
      <c r="S30" s="133"/>
      <c r="T30" s="133"/>
      <c r="U30" s="133"/>
      <c r="V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row>
    <row r="31" spans="1:256" x14ac:dyDescent="0.25">
      <c r="B31" s="134" t="s">
        <v>273</v>
      </c>
      <c r="C31" s="134"/>
      <c r="D31" s="134"/>
      <c r="E31" s="134"/>
      <c r="F31" s="135"/>
      <c r="G31" s="135"/>
      <c r="H31" s="134"/>
      <c r="I31" s="134"/>
      <c r="J31" s="134"/>
      <c r="K31" s="134"/>
      <c r="L31" s="134"/>
      <c r="M31" s="134"/>
      <c r="N31" s="134"/>
      <c r="O31" s="134"/>
      <c r="P31" s="134"/>
      <c r="Q31" s="134"/>
      <c r="R31" s="134"/>
      <c r="S31" s="136"/>
      <c r="T31" s="136"/>
      <c r="U31" s="136"/>
      <c r="V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c r="DC31" s="136"/>
      <c r="DD31" s="136"/>
      <c r="DE31" s="136"/>
      <c r="DF31" s="136"/>
      <c r="DG31" s="136"/>
      <c r="DH31" s="136"/>
      <c r="DI31" s="136"/>
    </row>
    <row r="32" spans="1:256" x14ac:dyDescent="0.25">
      <c r="B32" s="134" t="s">
        <v>274</v>
      </c>
      <c r="C32" s="134"/>
      <c r="D32" s="134"/>
      <c r="E32" s="134"/>
      <c r="F32" s="135"/>
      <c r="G32" s="135"/>
      <c r="H32" s="134"/>
      <c r="I32" s="134"/>
      <c r="J32" s="134"/>
      <c r="K32" s="134"/>
      <c r="L32" s="134"/>
      <c r="M32" s="134"/>
      <c r="N32" s="134"/>
      <c r="O32" s="134"/>
      <c r="P32" s="134"/>
      <c r="Q32" s="134"/>
      <c r="R32" s="134"/>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row>
    <row r="33" spans="2:113" s="135" customFormat="1" x14ac:dyDescent="0.25">
      <c r="B33" s="134" t="s">
        <v>275</v>
      </c>
      <c r="C33" s="134"/>
      <c r="D33" s="134"/>
      <c r="E33" s="134"/>
      <c r="H33" s="134"/>
      <c r="I33" s="134"/>
      <c r="J33" s="134"/>
      <c r="K33" s="134"/>
      <c r="L33" s="134"/>
      <c r="M33" s="134"/>
      <c r="N33" s="134"/>
      <c r="O33" s="134"/>
      <c r="P33" s="134"/>
      <c r="Q33" s="134"/>
      <c r="R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row>
    <row r="34" spans="2:113" s="135" customFormat="1" x14ac:dyDescent="0.25">
      <c r="B34" s="134" t="s">
        <v>276</v>
      </c>
      <c r="C34" s="134"/>
      <c r="D34" s="134"/>
      <c r="E34" s="134"/>
      <c r="H34" s="134"/>
      <c r="I34" s="134"/>
      <c r="J34" s="134"/>
      <c r="K34" s="134"/>
      <c r="L34" s="134"/>
      <c r="M34" s="134"/>
      <c r="N34" s="134"/>
      <c r="O34" s="134"/>
      <c r="P34" s="134"/>
      <c r="Q34" s="134"/>
      <c r="R34" s="134"/>
      <c r="S34" s="134"/>
      <c r="T34" s="134"/>
      <c r="U34" s="134"/>
      <c r="V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row>
    <row r="35" spans="2:113" s="135" customFormat="1" x14ac:dyDescent="0.25">
      <c r="B35" s="134" t="s">
        <v>277</v>
      </c>
      <c r="C35" s="134"/>
      <c r="D35" s="134"/>
      <c r="E35" s="134"/>
      <c r="H35" s="134"/>
      <c r="I35" s="134"/>
      <c r="J35" s="134"/>
      <c r="K35" s="134"/>
      <c r="L35" s="134"/>
      <c r="M35" s="134"/>
      <c r="N35" s="134"/>
      <c r="O35" s="134"/>
      <c r="P35" s="134"/>
      <c r="Q35" s="134"/>
      <c r="R35" s="134"/>
      <c r="S35" s="134"/>
      <c r="T35" s="134"/>
      <c r="U35" s="134"/>
      <c r="V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c r="CX35" s="137"/>
      <c r="CY35" s="137"/>
      <c r="CZ35" s="137"/>
      <c r="DA35" s="137"/>
      <c r="DB35" s="137"/>
      <c r="DC35" s="137"/>
      <c r="DD35" s="137"/>
      <c r="DE35" s="137"/>
      <c r="DF35" s="137"/>
      <c r="DG35" s="137"/>
      <c r="DH35" s="137"/>
      <c r="DI35" s="137"/>
    </row>
    <row r="36" spans="2:113" s="135" customFormat="1" x14ac:dyDescent="0.25">
      <c r="B36" s="134" t="s">
        <v>278</v>
      </c>
      <c r="C36" s="134"/>
      <c r="D36" s="134"/>
      <c r="E36" s="134"/>
      <c r="H36" s="134"/>
      <c r="I36" s="134"/>
      <c r="J36" s="134"/>
      <c r="K36" s="134"/>
      <c r="L36" s="134"/>
      <c r="M36" s="134"/>
      <c r="N36" s="134"/>
      <c r="O36" s="134"/>
      <c r="P36" s="134"/>
      <c r="Q36" s="134"/>
      <c r="R36" s="134"/>
      <c r="S36" s="134"/>
      <c r="T36" s="134"/>
      <c r="U36" s="134"/>
      <c r="V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c r="CX36" s="137"/>
      <c r="CY36" s="137"/>
      <c r="CZ36" s="137"/>
      <c r="DA36" s="137"/>
      <c r="DB36" s="137"/>
      <c r="DC36" s="137"/>
      <c r="DD36" s="137"/>
      <c r="DE36" s="137"/>
      <c r="DF36" s="137"/>
      <c r="DG36" s="137"/>
      <c r="DH36" s="137"/>
      <c r="DI36" s="137"/>
    </row>
    <row r="37" spans="2:113" s="135" customFormat="1" x14ac:dyDescent="0.25">
      <c r="B37" s="134" t="s">
        <v>279</v>
      </c>
      <c r="C37" s="134"/>
      <c r="D37" s="134"/>
      <c r="E37" s="134"/>
      <c r="H37" s="134"/>
      <c r="I37" s="134"/>
      <c r="J37" s="134"/>
      <c r="K37" s="134"/>
      <c r="L37" s="134"/>
      <c r="M37" s="134"/>
      <c r="N37" s="134"/>
      <c r="O37" s="134"/>
      <c r="P37" s="134"/>
      <c r="Q37" s="134"/>
      <c r="R37" s="134"/>
      <c r="S37" s="134"/>
      <c r="T37" s="134"/>
      <c r="U37" s="134"/>
      <c r="V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row>
    <row r="38" spans="2:113" s="135" customFormat="1" x14ac:dyDescent="0.25">
      <c r="B38" s="134" t="s">
        <v>280</v>
      </c>
      <c r="C38" s="134"/>
      <c r="D38" s="134"/>
      <c r="E38" s="134"/>
      <c r="H38" s="134"/>
      <c r="I38" s="134"/>
      <c r="J38" s="134"/>
      <c r="K38" s="134"/>
      <c r="L38" s="134"/>
      <c r="M38" s="134"/>
      <c r="N38" s="134"/>
      <c r="O38" s="134"/>
      <c r="P38" s="134"/>
      <c r="Q38" s="134"/>
      <c r="R38" s="134"/>
      <c r="S38" s="134"/>
      <c r="T38" s="134"/>
      <c r="U38" s="134"/>
      <c r="V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row>
    <row r="39" spans="2:113" s="135" customFormat="1" x14ac:dyDescent="0.25">
      <c r="B39" s="134" t="s">
        <v>281</v>
      </c>
      <c r="C39" s="134"/>
      <c r="D39" s="134"/>
      <c r="E39" s="134"/>
      <c r="H39" s="134"/>
      <c r="I39" s="134"/>
      <c r="J39" s="134"/>
      <c r="K39" s="134"/>
      <c r="L39" s="134"/>
      <c r="M39" s="134"/>
      <c r="N39" s="134"/>
      <c r="O39" s="134"/>
      <c r="P39" s="134"/>
      <c r="Q39" s="134"/>
      <c r="R39" s="134"/>
      <c r="S39" s="134"/>
      <c r="T39" s="134"/>
      <c r="U39" s="134"/>
      <c r="V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row>
    <row r="40" spans="2:113" s="135" customFormat="1" x14ac:dyDescent="0.25">
      <c r="B40" s="134" t="s">
        <v>282</v>
      </c>
      <c r="C40" s="134"/>
      <c r="D40" s="134"/>
      <c r="E40" s="134"/>
      <c r="H40" s="134"/>
      <c r="I40" s="134"/>
      <c r="J40" s="134"/>
      <c r="K40" s="134"/>
      <c r="L40" s="134"/>
      <c r="M40" s="134"/>
      <c r="N40" s="134"/>
      <c r="O40" s="134"/>
      <c r="P40" s="134"/>
      <c r="Q40" s="134"/>
      <c r="R40" s="134"/>
      <c r="S40" s="134"/>
      <c r="T40" s="134"/>
      <c r="U40" s="134"/>
      <c r="V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row>
    <row r="41" spans="2:113" s="135" customFormat="1" x14ac:dyDescent="0.25">
      <c r="Q41" s="134"/>
      <c r="R41" s="134"/>
      <c r="S41" s="134"/>
      <c r="T41" s="134"/>
      <c r="U41" s="134"/>
      <c r="V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row>
    <row r="42" spans="2:113" s="135" customFormat="1" x14ac:dyDescent="0.25">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5" customWidth="1"/>
    <col min="3" max="3" width="16.85546875" style="125" customWidth="1"/>
    <col min="4" max="4" width="11.5703125" style="125" customWidth="1"/>
    <col min="5" max="5" width="17.71093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3.7109375" style="125" customWidth="1"/>
    <col min="15" max="16" width="8.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ustomWidth="1"/>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16384" width="17.7109375" style="125"/>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56" t="str">
        <f>'1. паспорт местоположение'!$A$5</f>
        <v>Год раскрытия информации: 2025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70" t="s">
        <v>5</v>
      </c>
      <c r="F7" s="270"/>
      <c r="G7" s="270"/>
      <c r="H7" s="270"/>
      <c r="I7" s="270"/>
      <c r="J7" s="270"/>
      <c r="K7" s="270"/>
      <c r="L7" s="270"/>
      <c r="M7" s="270"/>
      <c r="N7" s="270"/>
      <c r="O7" s="270"/>
      <c r="P7" s="270"/>
      <c r="Q7" s="270"/>
      <c r="R7" s="270"/>
      <c r="S7" s="270"/>
      <c r="T7" s="270"/>
      <c r="U7" s="270"/>
      <c r="V7" s="270"/>
      <c r="W7" s="270"/>
      <c r="X7" s="270"/>
      <c r="Y7" s="270"/>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71" t="s">
        <v>249</v>
      </c>
      <c r="F9" s="271"/>
      <c r="G9" s="271"/>
      <c r="H9" s="271"/>
      <c r="I9" s="271"/>
      <c r="J9" s="271"/>
      <c r="K9" s="271"/>
      <c r="L9" s="271"/>
      <c r="M9" s="271"/>
      <c r="N9" s="271"/>
      <c r="O9" s="271"/>
      <c r="P9" s="271"/>
      <c r="Q9" s="271"/>
      <c r="R9" s="271"/>
      <c r="S9" s="271"/>
      <c r="T9" s="271"/>
      <c r="U9" s="271"/>
      <c r="V9" s="271"/>
      <c r="W9" s="271"/>
      <c r="X9" s="271"/>
      <c r="Y9" s="27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74" t="s">
        <v>4</v>
      </c>
      <c r="F10" s="274"/>
      <c r="G10" s="274"/>
      <c r="H10" s="274"/>
      <c r="I10" s="274"/>
      <c r="J10" s="274"/>
      <c r="K10" s="274"/>
      <c r="L10" s="274"/>
      <c r="M10" s="274"/>
      <c r="N10" s="274"/>
      <c r="O10" s="274"/>
      <c r="P10" s="274"/>
      <c r="Q10" s="274"/>
      <c r="R10" s="274"/>
      <c r="S10" s="274"/>
      <c r="T10" s="274"/>
      <c r="U10" s="274"/>
      <c r="V10" s="274"/>
      <c r="W10" s="274"/>
      <c r="X10" s="274"/>
      <c r="Y10" s="274"/>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71" t="str">
        <f>'1. паспорт местоположение'!A12</f>
        <v>K_Che303</v>
      </c>
      <c r="F12" s="271"/>
      <c r="G12" s="271"/>
      <c r="H12" s="271"/>
      <c r="I12" s="271"/>
      <c r="J12" s="271"/>
      <c r="K12" s="271"/>
      <c r="L12" s="271"/>
      <c r="M12" s="271"/>
      <c r="N12" s="271"/>
      <c r="O12" s="271"/>
      <c r="P12" s="271"/>
      <c r="Q12" s="271"/>
      <c r="R12" s="271"/>
      <c r="S12" s="271"/>
      <c r="T12" s="271"/>
      <c r="U12" s="271"/>
      <c r="V12" s="271"/>
      <c r="W12" s="271"/>
      <c r="X12" s="271"/>
      <c r="Y12" s="27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74" t="s">
        <v>3</v>
      </c>
      <c r="F13" s="274"/>
      <c r="G13" s="274"/>
      <c r="H13" s="274"/>
      <c r="I13" s="274"/>
      <c r="J13" s="274"/>
      <c r="K13" s="274"/>
      <c r="L13" s="274"/>
      <c r="M13" s="274"/>
      <c r="N13" s="274"/>
      <c r="O13" s="274"/>
      <c r="P13" s="274"/>
      <c r="Q13" s="274"/>
      <c r="R13" s="274"/>
      <c r="S13" s="274"/>
      <c r="T13" s="274"/>
      <c r="U13" s="274"/>
      <c r="V13" s="274"/>
      <c r="W13" s="274"/>
      <c r="X13" s="274"/>
      <c r="Y13" s="274"/>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6"/>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7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74" t="s">
        <v>2</v>
      </c>
      <c r="F16" s="274"/>
      <c r="G16" s="274"/>
      <c r="H16" s="274"/>
      <c r="I16" s="274"/>
      <c r="J16" s="274"/>
      <c r="K16" s="274"/>
      <c r="L16" s="274"/>
      <c r="M16" s="274"/>
      <c r="N16" s="274"/>
      <c r="O16" s="274"/>
      <c r="P16" s="274"/>
      <c r="Q16" s="274"/>
      <c r="R16" s="274"/>
      <c r="S16" s="274"/>
      <c r="T16" s="274"/>
      <c r="U16" s="274"/>
      <c r="V16" s="274"/>
      <c r="W16" s="274"/>
      <c r="X16" s="274"/>
      <c r="Y16" s="274"/>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71"/>
      <c r="F18" s="271"/>
      <c r="G18" s="271"/>
      <c r="H18" s="271"/>
      <c r="I18" s="271"/>
      <c r="J18" s="271"/>
      <c r="K18" s="271"/>
      <c r="L18" s="271"/>
      <c r="M18" s="271"/>
      <c r="N18" s="271"/>
      <c r="O18" s="271"/>
      <c r="P18" s="271"/>
      <c r="Q18" s="271"/>
      <c r="R18" s="271"/>
      <c r="S18" s="271"/>
      <c r="T18" s="271"/>
      <c r="U18" s="271"/>
      <c r="V18" s="271"/>
      <c r="W18" s="271"/>
      <c r="X18" s="271"/>
      <c r="Y18" s="271"/>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71" t="s">
        <v>313</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286" t="s">
        <v>1</v>
      </c>
      <c r="B21" s="282" t="s">
        <v>314</v>
      </c>
      <c r="C21" s="283"/>
      <c r="D21" s="282" t="s">
        <v>315</v>
      </c>
      <c r="E21" s="283"/>
      <c r="F21" s="289" t="s">
        <v>302</v>
      </c>
      <c r="G21" s="290"/>
      <c r="H21" s="290"/>
      <c r="I21" s="291"/>
      <c r="J21" s="286" t="s">
        <v>316</v>
      </c>
      <c r="K21" s="282" t="s">
        <v>317</v>
      </c>
      <c r="L21" s="283"/>
      <c r="M21" s="282" t="s">
        <v>318</v>
      </c>
      <c r="N21" s="283"/>
      <c r="O21" s="282" t="s">
        <v>319</v>
      </c>
      <c r="P21" s="283"/>
      <c r="Q21" s="282" t="s">
        <v>320</v>
      </c>
      <c r="R21" s="283"/>
      <c r="S21" s="286" t="s">
        <v>321</v>
      </c>
      <c r="T21" s="286" t="s">
        <v>322</v>
      </c>
      <c r="U21" s="286" t="s">
        <v>323</v>
      </c>
      <c r="V21" s="282" t="s">
        <v>324</v>
      </c>
      <c r="W21" s="283"/>
      <c r="X21" s="289" t="s">
        <v>35</v>
      </c>
      <c r="Y21" s="290"/>
      <c r="Z21" s="289" t="s">
        <v>34</v>
      </c>
      <c r="AA21" s="290"/>
    </row>
    <row r="22" spans="1:256" ht="141.75" x14ac:dyDescent="0.25">
      <c r="A22" s="287"/>
      <c r="B22" s="284"/>
      <c r="C22" s="285"/>
      <c r="D22" s="284"/>
      <c r="E22" s="285"/>
      <c r="F22" s="289" t="s">
        <v>325</v>
      </c>
      <c r="G22" s="291"/>
      <c r="H22" s="289" t="s">
        <v>326</v>
      </c>
      <c r="I22" s="291"/>
      <c r="J22" s="288"/>
      <c r="K22" s="284"/>
      <c r="L22" s="285"/>
      <c r="M22" s="284"/>
      <c r="N22" s="285"/>
      <c r="O22" s="284"/>
      <c r="P22" s="285"/>
      <c r="Q22" s="284"/>
      <c r="R22" s="285"/>
      <c r="S22" s="288"/>
      <c r="T22" s="288"/>
      <c r="U22" s="288"/>
      <c r="V22" s="284"/>
      <c r="W22" s="285"/>
      <c r="X22" s="40" t="s">
        <v>33</v>
      </c>
      <c r="Y22" s="40" t="s">
        <v>236</v>
      </c>
      <c r="Z22" s="40" t="s">
        <v>32</v>
      </c>
      <c r="AA22" s="40" t="s">
        <v>31</v>
      </c>
    </row>
    <row r="23" spans="1:256" x14ac:dyDescent="0.25">
      <c r="A23" s="288"/>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56" s="127" customFormat="1" x14ac:dyDescent="0.25">
      <c r="A25" s="161"/>
      <c r="B25" s="162" t="s">
        <v>312</v>
      </c>
      <c r="C25" s="162" t="s">
        <v>312</v>
      </c>
      <c r="D25" s="162" t="s">
        <v>312</v>
      </c>
      <c r="E25" s="162" t="s">
        <v>312</v>
      </c>
      <c r="F25" s="162" t="s">
        <v>312</v>
      </c>
      <c r="G25" s="162" t="s">
        <v>312</v>
      </c>
      <c r="H25" s="162" t="s">
        <v>312</v>
      </c>
      <c r="I25" s="162" t="s">
        <v>312</v>
      </c>
      <c r="J25" s="162" t="s">
        <v>312</v>
      </c>
      <c r="K25" s="162" t="s">
        <v>312</v>
      </c>
      <c r="L25" s="162" t="s">
        <v>312</v>
      </c>
      <c r="M25" s="162" t="s">
        <v>312</v>
      </c>
      <c r="N25" s="162" t="s">
        <v>312</v>
      </c>
      <c r="O25" s="162" t="s">
        <v>312</v>
      </c>
      <c r="P25" s="162" t="s">
        <v>312</v>
      </c>
      <c r="Q25" s="162" t="s">
        <v>312</v>
      </c>
      <c r="R25" s="162" t="s">
        <v>312</v>
      </c>
      <c r="S25" s="162" t="s">
        <v>312</v>
      </c>
      <c r="T25" s="162" t="s">
        <v>312</v>
      </c>
      <c r="U25" s="162" t="s">
        <v>312</v>
      </c>
      <c r="V25" s="162" t="s">
        <v>312</v>
      </c>
      <c r="W25" s="162" t="s">
        <v>312</v>
      </c>
      <c r="X25" s="162" t="s">
        <v>312</v>
      </c>
      <c r="Y25" s="162" t="s">
        <v>312</v>
      </c>
      <c r="Z25" s="162" t="s">
        <v>312</v>
      </c>
      <c r="AA25" s="162" t="s">
        <v>312</v>
      </c>
    </row>
    <row r="27" spans="1:256" x14ac:dyDescent="0.25">
      <c r="A27" s="129"/>
      <c r="B27" s="129"/>
      <c r="C27" s="129"/>
      <c r="D27" s="130"/>
      <c r="E27" s="129"/>
      <c r="F27" s="130"/>
      <c r="G27" s="130"/>
      <c r="H27" s="130"/>
      <c r="I27" s="130"/>
      <c r="J27" s="130"/>
      <c r="K27" s="130"/>
      <c r="L27" s="130"/>
      <c r="M27" s="130"/>
      <c r="N27" s="130"/>
      <c r="O27" s="130"/>
      <c r="P27" s="130"/>
      <c r="Q27" s="130"/>
      <c r="R27" s="130"/>
      <c r="S27" s="130"/>
      <c r="T27" s="130"/>
      <c r="U27" s="130"/>
      <c r="V27" s="130"/>
      <c r="W27" s="130"/>
      <c r="X27" s="131"/>
      <c r="Y27" s="131"/>
      <c r="Z27" s="131"/>
      <c r="AA27" s="131"/>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row>
    <row r="28" spans="1:256" x14ac:dyDescent="0.25">
      <c r="A28" s="129"/>
      <c r="B28" s="129"/>
      <c r="C28" s="129"/>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C16" zoomScale="70" zoomScaleNormal="70" workbookViewId="0">
      <selection activeCell="C30" sqref="C30"/>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56" t="str">
        <f>'1. паспорт местоположение'!$A$5</f>
        <v>Год раскрытия информации: 2025 год</v>
      </c>
      <c r="B5" s="256"/>
      <c r="C5" s="256"/>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60" t="s">
        <v>5</v>
      </c>
      <c r="B7" s="260"/>
      <c r="C7" s="260"/>
      <c r="D7" s="73"/>
      <c r="E7" s="73"/>
      <c r="F7" s="73"/>
      <c r="G7" s="73"/>
      <c r="H7" s="73"/>
      <c r="I7" s="73"/>
      <c r="J7" s="73"/>
      <c r="K7" s="73"/>
      <c r="L7" s="73"/>
      <c r="M7" s="73"/>
      <c r="N7" s="73"/>
      <c r="O7" s="73"/>
      <c r="P7" s="73"/>
      <c r="Q7" s="73"/>
      <c r="R7" s="73"/>
      <c r="S7" s="73"/>
    </row>
    <row r="8" spans="1:27" s="2" customFormat="1" ht="18.75" x14ac:dyDescent="0.2">
      <c r="A8" s="260"/>
      <c r="B8" s="260"/>
      <c r="C8" s="260"/>
      <c r="D8" s="112"/>
      <c r="E8" s="112"/>
      <c r="F8" s="73"/>
      <c r="G8" s="73"/>
      <c r="H8" s="73"/>
      <c r="I8" s="73"/>
      <c r="J8" s="73"/>
      <c r="K8" s="73"/>
      <c r="L8" s="73"/>
      <c r="M8" s="73"/>
      <c r="N8" s="73"/>
      <c r="O8" s="73"/>
      <c r="P8" s="73"/>
      <c r="Q8" s="73"/>
      <c r="R8" s="73"/>
      <c r="S8" s="73"/>
    </row>
    <row r="9" spans="1:27" s="2" customFormat="1" ht="18.75" x14ac:dyDescent="0.2">
      <c r="A9" s="261" t="s">
        <v>249</v>
      </c>
      <c r="B9" s="261"/>
      <c r="C9" s="261"/>
      <c r="D9" s="76"/>
      <c r="E9" s="76"/>
      <c r="F9" s="73"/>
      <c r="G9" s="73"/>
      <c r="H9" s="73"/>
      <c r="I9" s="73"/>
      <c r="J9" s="73"/>
      <c r="K9" s="73"/>
      <c r="L9" s="73"/>
      <c r="M9" s="73"/>
      <c r="N9" s="73"/>
      <c r="O9" s="73"/>
      <c r="P9" s="73"/>
      <c r="Q9" s="73"/>
      <c r="R9" s="73"/>
      <c r="S9" s="73"/>
    </row>
    <row r="10" spans="1:27" s="2" customFormat="1" ht="18.75" x14ac:dyDescent="0.2">
      <c r="A10" s="262" t="s">
        <v>4</v>
      </c>
      <c r="B10" s="262"/>
      <c r="C10" s="262"/>
      <c r="D10" s="77"/>
      <c r="E10" s="77"/>
      <c r="F10" s="73"/>
      <c r="G10" s="73"/>
      <c r="H10" s="73"/>
      <c r="I10" s="73"/>
      <c r="J10" s="73"/>
      <c r="K10" s="73"/>
      <c r="L10" s="73"/>
      <c r="M10" s="73"/>
      <c r="N10" s="73"/>
      <c r="O10" s="73"/>
      <c r="P10" s="73"/>
      <c r="Q10" s="73"/>
      <c r="R10" s="73"/>
      <c r="S10" s="73"/>
    </row>
    <row r="11" spans="1:27" s="2" customFormat="1" ht="18.75" x14ac:dyDescent="0.2">
      <c r="A11" s="260"/>
      <c r="B11" s="260"/>
      <c r="C11" s="260"/>
      <c r="D11" s="112"/>
      <c r="E11" s="112"/>
      <c r="F11" s="73"/>
      <c r="G11" s="73"/>
      <c r="H11" s="73"/>
      <c r="I11" s="73"/>
      <c r="J11" s="73"/>
      <c r="K11" s="73"/>
      <c r="L11" s="73"/>
      <c r="M11" s="73"/>
      <c r="N11" s="73"/>
      <c r="O11" s="73"/>
      <c r="P11" s="73"/>
      <c r="Q11" s="73"/>
      <c r="R11" s="73"/>
      <c r="S11" s="73"/>
    </row>
    <row r="12" spans="1:27" s="2" customFormat="1" ht="18.75" x14ac:dyDescent="0.2">
      <c r="A12" s="261" t="str">
        <f>'1. паспорт местоположение'!A12:C12</f>
        <v>K_Che303</v>
      </c>
      <c r="B12" s="261"/>
      <c r="C12" s="261"/>
      <c r="D12" s="76"/>
      <c r="E12" s="76"/>
      <c r="F12" s="73"/>
      <c r="G12" s="73"/>
      <c r="H12" s="73"/>
      <c r="I12" s="73"/>
      <c r="J12" s="73"/>
      <c r="K12" s="73"/>
      <c r="L12" s="73"/>
      <c r="M12" s="73"/>
      <c r="N12" s="73"/>
      <c r="O12" s="73"/>
      <c r="P12" s="73"/>
      <c r="Q12" s="73"/>
      <c r="R12" s="73"/>
      <c r="S12" s="73"/>
    </row>
    <row r="13" spans="1:27" s="2" customFormat="1" ht="18.75" x14ac:dyDescent="0.2">
      <c r="A13" s="262" t="s">
        <v>3</v>
      </c>
      <c r="B13" s="262"/>
      <c r="C13" s="262"/>
      <c r="D13" s="77"/>
      <c r="E13" s="77"/>
      <c r="F13" s="73"/>
      <c r="G13" s="73"/>
      <c r="H13" s="73"/>
      <c r="I13" s="73"/>
      <c r="J13" s="73"/>
      <c r="K13" s="73"/>
      <c r="L13" s="73"/>
      <c r="M13" s="73"/>
      <c r="N13" s="73"/>
      <c r="O13" s="73"/>
      <c r="P13" s="73"/>
      <c r="Q13" s="73"/>
      <c r="R13" s="73"/>
      <c r="S13" s="73"/>
    </row>
    <row r="14" spans="1:27" s="113" customFormat="1" ht="15.75" customHeight="1" x14ac:dyDescent="0.2">
      <c r="A14" s="292"/>
      <c r="B14" s="292"/>
      <c r="C14" s="292"/>
      <c r="D14" s="66"/>
      <c r="E14" s="66"/>
      <c r="F14" s="66"/>
      <c r="G14" s="66"/>
      <c r="H14" s="66"/>
      <c r="I14" s="66"/>
      <c r="J14" s="66"/>
      <c r="K14" s="66"/>
      <c r="L14" s="66"/>
      <c r="M14" s="66"/>
      <c r="N14" s="66"/>
      <c r="O14" s="66"/>
      <c r="P14" s="66"/>
      <c r="Q14" s="66"/>
      <c r="R14" s="66"/>
      <c r="S14" s="66"/>
    </row>
    <row r="15" spans="1:27" s="114" customFormat="1" ht="36.75" customHeight="1" x14ac:dyDescent="0.2">
      <c r="A15" s="26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3"/>
      <c r="C15" s="263"/>
      <c r="D15" s="76"/>
      <c r="E15" s="76"/>
      <c r="F15" s="76"/>
      <c r="G15" s="76"/>
      <c r="H15" s="76"/>
      <c r="I15" s="76"/>
      <c r="J15" s="76"/>
      <c r="K15" s="76"/>
      <c r="L15" s="76"/>
      <c r="M15" s="76"/>
      <c r="N15" s="76"/>
      <c r="O15" s="76"/>
      <c r="P15" s="76"/>
      <c r="Q15" s="76"/>
      <c r="R15" s="76"/>
      <c r="S15" s="76"/>
    </row>
    <row r="16" spans="1:27" s="114" customFormat="1" ht="15" customHeight="1" x14ac:dyDescent="0.2">
      <c r="A16" s="262" t="s">
        <v>2</v>
      </c>
      <c r="B16" s="262"/>
      <c r="C16" s="262"/>
      <c r="D16" s="77"/>
      <c r="E16" s="77"/>
      <c r="F16" s="77"/>
      <c r="G16" s="77"/>
      <c r="H16" s="77"/>
      <c r="I16" s="77"/>
      <c r="J16" s="77"/>
      <c r="K16" s="77"/>
      <c r="L16" s="77"/>
      <c r="M16" s="77"/>
      <c r="N16" s="77"/>
      <c r="O16" s="77"/>
      <c r="P16" s="77"/>
      <c r="Q16" s="77"/>
      <c r="R16" s="77"/>
      <c r="S16" s="77"/>
    </row>
    <row r="17" spans="1:19" s="114" customFormat="1" ht="15" customHeight="1" x14ac:dyDescent="0.2">
      <c r="A17" s="293"/>
      <c r="B17" s="293"/>
      <c r="C17" s="293"/>
      <c r="D17" s="115"/>
      <c r="E17" s="115"/>
      <c r="F17" s="115"/>
      <c r="G17" s="115"/>
      <c r="H17" s="115"/>
      <c r="I17" s="115"/>
      <c r="J17" s="115"/>
      <c r="K17" s="115"/>
      <c r="L17" s="115"/>
      <c r="M17" s="115"/>
      <c r="N17" s="115"/>
      <c r="O17" s="115"/>
      <c r="P17" s="115"/>
    </row>
    <row r="18" spans="1:19" s="114" customFormat="1" ht="27.75" customHeight="1" x14ac:dyDescent="0.2">
      <c r="A18" s="295" t="s">
        <v>235</v>
      </c>
      <c r="B18" s="295"/>
      <c r="C18" s="295"/>
      <c r="D18" s="116"/>
      <c r="E18" s="116"/>
      <c r="F18" s="116"/>
      <c r="G18" s="116"/>
      <c r="H18" s="116"/>
      <c r="I18" s="116"/>
      <c r="J18" s="116"/>
      <c r="K18" s="116"/>
      <c r="L18" s="116"/>
      <c r="M18" s="116"/>
      <c r="N18" s="116"/>
      <c r="O18" s="116"/>
      <c r="P18" s="116"/>
      <c r="Q18" s="116"/>
      <c r="R18" s="116"/>
      <c r="S18" s="116"/>
    </row>
    <row r="19" spans="1:19" s="114" customFormat="1" ht="15" customHeight="1" x14ac:dyDescent="0.2">
      <c r="A19" s="77"/>
      <c r="B19" s="77"/>
      <c r="C19" s="77"/>
      <c r="D19" s="77"/>
      <c r="E19" s="77"/>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116.25" customHeight="1" x14ac:dyDescent="0.2">
      <c r="A22" s="3" t="s">
        <v>18</v>
      </c>
      <c r="B22" s="4" t="s">
        <v>239</v>
      </c>
      <c r="C22" s="53" t="s">
        <v>546</v>
      </c>
      <c r="D22" s="66"/>
      <c r="E22" s="66"/>
      <c r="F22" s="66"/>
      <c r="G22" s="66"/>
      <c r="H22" s="66"/>
      <c r="I22" s="66"/>
      <c r="J22" s="66"/>
      <c r="K22" s="66"/>
      <c r="L22" s="66"/>
      <c r="M22" s="66"/>
      <c r="N22" s="66"/>
      <c r="O22" s="121"/>
      <c r="P22" s="121"/>
      <c r="Q22" s="121"/>
      <c r="R22" s="121"/>
      <c r="S22" s="121"/>
    </row>
    <row r="23" spans="1:19" ht="47.25" x14ac:dyDescent="0.25">
      <c r="A23" s="3" t="s">
        <v>17</v>
      </c>
      <c r="B23" s="122" t="s">
        <v>14</v>
      </c>
      <c r="C23" s="117" t="s">
        <v>547</v>
      </c>
      <c r="D23" s="101"/>
      <c r="E23" s="101"/>
      <c r="F23" s="101"/>
      <c r="G23" s="101"/>
      <c r="H23" s="101"/>
      <c r="I23" s="101"/>
      <c r="J23" s="101"/>
      <c r="K23" s="101"/>
      <c r="L23" s="101"/>
      <c r="M23" s="101"/>
      <c r="N23" s="101"/>
      <c r="O23" s="101"/>
      <c r="P23" s="101"/>
      <c r="Q23" s="101"/>
      <c r="R23" s="101"/>
      <c r="S23" s="101"/>
    </row>
    <row r="24" spans="1:19" ht="47.25" x14ac:dyDescent="0.25">
      <c r="A24" s="3" t="s">
        <v>16</v>
      </c>
      <c r="B24" s="122" t="s">
        <v>244</v>
      </c>
      <c r="C24" s="166" t="s">
        <v>548</v>
      </c>
      <c r="D24" s="101"/>
      <c r="E24" s="101"/>
      <c r="F24" s="101"/>
      <c r="G24" s="101"/>
      <c r="H24" s="101"/>
      <c r="I24" s="101"/>
      <c r="J24" s="101"/>
      <c r="K24" s="101"/>
      <c r="L24" s="101"/>
      <c r="M24" s="101"/>
      <c r="N24" s="101"/>
      <c r="O24" s="101"/>
      <c r="P24" s="101"/>
      <c r="Q24" s="101"/>
      <c r="R24" s="101"/>
      <c r="S24" s="101"/>
    </row>
    <row r="25" spans="1:19" ht="63" customHeight="1" x14ac:dyDescent="0.25">
      <c r="A25" s="3" t="s">
        <v>15</v>
      </c>
      <c r="B25" s="122" t="s">
        <v>245</v>
      </c>
      <c r="C25" s="123" t="s">
        <v>549</v>
      </c>
      <c r="D25" s="101"/>
      <c r="E25" s="101"/>
      <c r="F25" s="101"/>
      <c r="G25" s="101"/>
      <c r="H25" s="101"/>
      <c r="I25" s="101"/>
      <c r="J25" s="101"/>
      <c r="K25" s="101"/>
      <c r="L25" s="101"/>
      <c r="M25" s="101"/>
      <c r="N25" s="101"/>
      <c r="O25" s="101"/>
      <c r="P25" s="101"/>
      <c r="Q25" s="101"/>
      <c r="R25" s="101"/>
      <c r="S25" s="101"/>
    </row>
    <row r="26" spans="1:19" ht="42.75" customHeight="1"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2.75" customHeight="1" x14ac:dyDescent="0.25">
      <c r="A27" s="3" t="s">
        <v>12</v>
      </c>
      <c r="B27" s="122" t="s">
        <v>240</v>
      </c>
      <c r="C27" s="117" t="s">
        <v>550</v>
      </c>
      <c r="D27" s="101"/>
      <c r="E27" s="101"/>
      <c r="F27" s="101"/>
      <c r="G27" s="101"/>
      <c r="H27" s="101"/>
      <c r="I27" s="101"/>
      <c r="J27" s="101"/>
      <c r="K27" s="101"/>
      <c r="L27" s="101"/>
      <c r="M27" s="101"/>
      <c r="N27" s="101"/>
      <c r="O27" s="101"/>
      <c r="P27" s="101"/>
      <c r="Q27" s="101"/>
      <c r="R27" s="101"/>
      <c r="S27" s="101"/>
    </row>
    <row r="28" spans="1:19" ht="42.75" customHeight="1" x14ac:dyDescent="0.25">
      <c r="A28" s="3" t="s">
        <v>10</v>
      </c>
      <c r="B28" s="122" t="s">
        <v>11</v>
      </c>
      <c r="C28" s="60">
        <f>VLOOKUP($A$12,'[1]6.2. отчет'!$D:$OP,399,0)</f>
        <v>2020</v>
      </c>
      <c r="D28" s="101"/>
      <c r="E28" s="101"/>
      <c r="F28" s="101"/>
      <c r="G28" s="101"/>
      <c r="H28" s="101"/>
      <c r="I28" s="101"/>
      <c r="J28" s="101"/>
      <c r="K28" s="101"/>
      <c r="L28" s="101"/>
      <c r="M28" s="101"/>
      <c r="N28" s="101"/>
      <c r="O28" s="101"/>
      <c r="P28" s="101"/>
      <c r="Q28" s="101"/>
      <c r="R28" s="101"/>
      <c r="S28" s="101"/>
    </row>
    <row r="29" spans="1:19" ht="42.75" customHeight="1" x14ac:dyDescent="0.25">
      <c r="A29" s="3" t="s">
        <v>8</v>
      </c>
      <c r="B29" s="117" t="s">
        <v>9</v>
      </c>
      <c r="C29" s="60">
        <f>VLOOKUP($A$12,'[1]6.2. отчет'!$D:$OP,402,0)</f>
        <v>2024</v>
      </c>
      <c r="D29" s="101"/>
      <c r="E29" s="101"/>
      <c r="F29" s="101"/>
      <c r="G29" s="101"/>
      <c r="H29" s="101"/>
      <c r="I29" s="101"/>
      <c r="J29" s="101"/>
      <c r="K29" s="101"/>
      <c r="L29" s="101"/>
      <c r="M29" s="101"/>
      <c r="N29" s="101"/>
      <c r="O29" s="101"/>
      <c r="P29" s="101"/>
      <c r="Q29" s="101"/>
      <c r="R29" s="101"/>
      <c r="S29" s="101"/>
    </row>
    <row r="30" spans="1:19" ht="42.75" customHeight="1" x14ac:dyDescent="0.25">
      <c r="A30" s="3" t="s">
        <v>26</v>
      </c>
      <c r="B30" s="117" t="s">
        <v>7</v>
      </c>
      <c r="C30" s="60" t="str">
        <f>VLOOKUP($A$12,'[1]6.2. отчет'!$D:$OP,403,0)</f>
        <v>с</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56" t="str">
        <f>'1. паспорт местоположение'!$A$5</f>
        <v>Год раскрытия информации: 2025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70" t="s">
        <v>5</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89"/>
      <c r="AB6" s="89"/>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89"/>
      <c r="AB7" s="89"/>
    </row>
    <row r="8" spans="1:28" ht="18.75" x14ac:dyDescent="0.25">
      <c r="A8" s="271" t="s">
        <v>249</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91"/>
      <c r="AB8" s="91"/>
    </row>
    <row r="9" spans="1:28" ht="15.75" x14ac:dyDescent="0.25">
      <c r="A9" s="274" t="s">
        <v>4</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93"/>
      <c r="AB9" s="93"/>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89"/>
      <c r="AB10" s="89"/>
    </row>
    <row r="11" spans="1:28" ht="18.75" x14ac:dyDescent="0.25">
      <c r="A11" s="271" t="str">
        <f>'1. паспорт местоположение'!A12:C12</f>
        <v>K_Che303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91"/>
      <c r="AB11" s="91"/>
    </row>
    <row r="12" spans="1:28" ht="15.75" x14ac:dyDescent="0.25">
      <c r="A12" s="274" t="s">
        <v>3</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93"/>
      <c r="AB12" s="93"/>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03"/>
      <c r="AB13" s="103"/>
    </row>
    <row r="14" spans="1:28" ht="18.75" x14ac:dyDescent="0.25">
      <c r="A14" s="277"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91"/>
      <c r="AB14" s="91"/>
    </row>
    <row r="15" spans="1:28" ht="15.75" x14ac:dyDescent="0.25">
      <c r="A15" s="274" t="s">
        <v>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42"/>
      <c r="AB21" s="42"/>
    </row>
    <row r="22" spans="1:28" x14ac:dyDescent="0.25">
      <c r="A22" s="303" t="s">
        <v>328</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43"/>
      <c r="AB22" s="43"/>
    </row>
    <row r="23" spans="1:28" ht="43.5" customHeight="1" x14ac:dyDescent="0.25">
      <c r="A23" s="296" t="s">
        <v>329</v>
      </c>
      <c r="B23" s="297"/>
      <c r="C23" s="297"/>
      <c r="D23" s="297"/>
      <c r="E23" s="297"/>
      <c r="F23" s="297"/>
      <c r="G23" s="297"/>
      <c r="H23" s="297"/>
      <c r="I23" s="297"/>
      <c r="J23" s="297"/>
      <c r="K23" s="297"/>
      <c r="L23" s="298"/>
      <c r="M23" s="299" t="s">
        <v>330</v>
      </c>
      <c r="N23" s="300"/>
      <c r="O23" s="300"/>
      <c r="P23" s="300"/>
      <c r="Q23" s="300"/>
      <c r="R23" s="300"/>
      <c r="S23" s="300"/>
      <c r="T23" s="300"/>
      <c r="U23" s="300"/>
      <c r="V23" s="300"/>
      <c r="W23" s="300"/>
      <c r="X23" s="300"/>
      <c r="Y23" s="300"/>
      <c r="Z23" s="301"/>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8"/>
      <c r="L26" s="45" t="s">
        <v>363</v>
      </c>
      <c r="M26" s="46" t="s">
        <v>364</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365</v>
      </c>
    </row>
    <row r="27" spans="1:28" x14ac:dyDescent="0.25">
      <c r="A27" s="108" t="s">
        <v>366</v>
      </c>
      <c r="B27" s="108" t="s">
        <v>367</v>
      </c>
      <c r="C27" s="108" t="s">
        <v>312</v>
      </c>
      <c r="D27" s="108" t="s">
        <v>312</v>
      </c>
      <c r="E27" s="108" t="s">
        <v>312</v>
      </c>
      <c r="F27" s="108" t="s">
        <v>312</v>
      </c>
      <c r="G27" s="108" t="s">
        <v>312</v>
      </c>
      <c r="H27" s="108" t="s">
        <v>312</v>
      </c>
      <c r="I27" s="108" t="s">
        <v>312</v>
      </c>
      <c r="J27" s="108" t="s">
        <v>312</v>
      </c>
      <c r="K27" s="45" t="s">
        <v>368</v>
      </c>
      <c r="L27" s="108" t="s">
        <v>312</v>
      </c>
      <c r="M27" s="108" t="s">
        <v>312</v>
      </c>
      <c r="N27" s="108" t="s">
        <v>312</v>
      </c>
      <c r="O27" s="108" t="s">
        <v>312</v>
      </c>
      <c r="P27" s="108" t="s">
        <v>312</v>
      </c>
      <c r="Q27" s="108" t="s">
        <v>312</v>
      </c>
      <c r="R27" s="108" t="s">
        <v>312</v>
      </c>
      <c r="S27" s="108" t="s">
        <v>312</v>
      </c>
      <c r="T27" s="108" t="s">
        <v>312</v>
      </c>
      <c r="U27" s="108" t="s">
        <v>312</v>
      </c>
      <c r="V27" s="108" t="s">
        <v>312</v>
      </c>
      <c r="W27" s="108" t="s">
        <v>312</v>
      </c>
      <c r="X27" s="108" t="s">
        <v>312</v>
      </c>
      <c r="Y27" s="108" t="s">
        <v>312</v>
      </c>
      <c r="Z27" s="108" t="s">
        <v>312</v>
      </c>
    </row>
    <row r="28" spans="1:28" x14ac:dyDescent="0.25">
      <c r="A28" s="108" t="s">
        <v>366</v>
      </c>
      <c r="B28" s="108" t="s">
        <v>369</v>
      </c>
      <c r="C28" s="108" t="s">
        <v>312</v>
      </c>
      <c r="D28" s="108" t="s">
        <v>312</v>
      </c>
      <c r="E28" s="108" t="s">
        <v>312</v>
      </c>
      <c r="F28" s="108" t="s">
        <v>312</v>
      </c>
      <c r="G28" s="108" t="s">
        <v>312</v>
      </c>
      <c r="H28" s="108" t="s">
        <v>312</v>
      </c>
      <c r="I28" s="108" t="s">
        <v>312</v>
      </c>
      <c r="J28" s="108" t="s">
        <v>312</v>
      </c>
      <c r="K28" s="45" t="s">
        <v>370</v>
      </c>
      <c r="L28" s="108" t="s">
        <v>312</v>
      </c>
      <c r="M28" s="108" t="s">
        <v>312</v>
      </c>
      <c r="N28" s="108" t="s">
        <v>312</v>
      </c>
      <c r="O28" s="108" t="s">
        <v>312</v>
      </c>
      <c r="P28" s="108" t="s">
        <v>312</v>
      </c>
      <c r="Q28" s="108" t="s">
        <v>312</v>
      </c>
      <c r="R28" s="108" t="s">
        <v>312</v>
      </c>
      <c r="S28" s="108" t="s">
        <v>312</v>
      </c>
      <c r="T28" s="108" t="s">
        <v>312</v>
      </c>
      <c r="U28" s="108" t="s">
        <v>312</v>
      </c>
      <c r="V28" s="108" t="s">
        <v>312</v>
      </c>
      <c r="W28" s="108" t="s">
        <v>312</v>
      </c>
      <c r="X28" s="108" t="s">
        <v>312</v>
      </c>
      <c r="Y28" s="108" t="s">
        <v>312</v>
      </c>
      <c r="Z28" s="108" t="s">
        <v>312</v>
      </c>
    </row>
    <row r="29" spans="1:28" x14ac:dyDescent="0.25">
      <c r="A29" s="108" t="s">
        <v>366</v>
      </c>
      <c r="B29" s="108" t="s">
        <v>372</v>
      </c>
      <c r="C29" s="108" t="s">
        <v>312</v>
      </c>
      <c r="D29" s="108" t="s">
        <v>312</v>
      </c>
      <c r="E29" s="108" t="s">
        <v>312</v>
      </c>
      <c r="F29" s="108" t="s">
        <v>312</v>
      </c>
      <c r="G29" s="108" t="s">
        <v>312</v>
      </c>
      <c r="H29" s="108" t="s">
        <v>312</v>
      </c>
      <c r="I29" s="108" t="s">
        <v>312</v>
      </c>
      <c r="J29" s="108" t="s">
        <v>312</v>
      </c>
      <c r="K29" s="45" t="s">
        <v>373</v>
      </c>
      <c r="L29" s="108" t="s">
        <v>312</v>
      </c>
      <c r="M29" s="108" t="s">
        <v>312</v>
      </c>
      <c r="N29" s="108" t="s">
        <v>312</v>
      </c>
      <c r="O29" s="108" t="s">
        <v>312</v>
      </c>
      <c r="P29" s="108" t="s">
        <v>312</v>
      </c>
      <c r="Q29" s="108" t="s">
        <v>312</v>
      </c>
      <c r="R29" s="108" t="s">
        <v>312</v>
      </c>
      <c r="S29" s="108" t="s">
        <v>312</v>
      </c>
      <c r="T29" s="108" t="s">
        <v>312</v>
      </c>
      <c r="U29" s="108" t="s">
        <v>312</v>
      </c>
      <c r="V29" s="108" t="s">
        <v>312</v>
      </c>
      <c r="W29" s="108" t="s">
        <v>312</v>
      </c>
      <c r="X29" s="108" t="s">
        <v>312</v>
      </c>
      <c r="Y29" s="108" t="s">
        <v>312</v>
      </c>
      <c r="Z29" s="108" t="s">
        <v>312</v>
      </c>
    </row>
    <row r="30" spans="1:28" x14ac:dyDescent="0.25">
      <c r="A30" s="108" t="s">
        <v>366</v>
      </c>
      <c r="B30" s="108" t="s">
        <v>374</v>
      </c>
      <c r="C30" s="108" t="s">
        <v>312</v>
      </c>
      <c r="D30" s="108" t="s">
        <v>312</v>
      </c>
      <c r="E30" s="108" t="s">
        <v>312</v>
      </c>
      <c r="F30" s="108" t="s">
        <v>312</v>
      </c>
      <c r="G30" s="108" t="s">
        <v>312</v>
      </c>
      <c r="H30" s="108" t="s">
        <v>312</v>
      </c>
      <c r="I30" s="108" t="s">
        <v>312</v>
      </c>
      <c r="J30" s="108" t="s">
        <v>312</v>
      </c>
      <c r="K30" s="45" t="s">
        <v>375</v>
      </c>
      <c r="L30" s="108" t="s">
        <v>312</v>
      </c>
      <c r="M30" s="108" t="s">
        <v>312</v>
      </c>
      <c r="N30" s="108" t="s">
        <v>312</v>
      </c>
      <c r="O30" s="108" t="s">
        <v>312</v>
      </c>
      <c r="P30" s="108" t="s">
        <v>312</v>
      </c>
      <c r="Q30" s="108" t="s">
        <v>312</v>
      </c>
      <c r="R30" s="108" t="s">
        <v>312</v>
      </c>
      <c r="S30" s="108" t="s">
        <v>312</v>
      </c>
      <c r="T30" s="108" t="s">
        <v>312</v>
      </c>
      <c r="U30" s="108" t="s">
        <v>312</v>
      </c>
      <c r="V30" s="108" t="s">
        <v>312</v>
      </c>
      <c r="W30" s="108" t="s">
        <v>312</v>
      </c>
      <c r="X30" s="108" t="s">
        <v>312</v>
      </c>
      <c r="Y30" s="108" t="s">
        <v>312</v>
      </c>
      <c r="Z30" s="108" t="s">
        <v>312</v>
      </c>
    </row>
    <row r="31" spans="1:28" x14ac:dyDescent="0.25">
      <c r="A31" s="108" t="s">
        <v>371</v>
      </c>
      <c r="B31" s="108" t="s">
        <v>371</v>
      </c>
      <c r="C31" s="108" t="s">
        <v>371</v>
      </c>
      <c r="D31" s="108" t="s">
        <v>371</v>
      </c>
      <c r="E31" s="108" t="s">
        <v>371</v>
      </c>
      <c r="F31" s="108" t="s">
        <v>371</v>
      </c>
      <c r="G31" s="108" t="s">
        <v>371</v>
      </c>
      <c r="H31" s="108" t="s">
        <v>371</v>
      </c>
      <c r="I31" s="108" t="s">
        <v>371</v>
      </c>
      <c r="J31" s="108" t="s">
        <v>371</v>
      </c>
      <c r="K31" s="108" t="s">
        <v>371</v>
      </c>
      <c r="L31" s="108" t="s">
        <v>312</v>
      </c>
      <c r="M31" s="108" t="s">
        <v>312</v>
      </c>
      <c r="N31" s="108" t="s">
        <v>312</v>
      </c>
      <c r="O31" s="108" t="s">
        <v>312</v>
      </c>
      <c r="P31" s="108" t="s">
        <v>312</v>
      </c>
      <c r="Q31" s="108" t="s">
        <v>312</v>
      </c>
      <c r="R31" s="108" t="s">
        <v>312</v>
      </c>
      <c r="S31" s="108" t="s">
        <v>312</v>
      </c>
      <c r="T31" s="108" t="s">
        <v>312</v>
      </c>
      <c r="U31" s="108" t="s">
        <v>312</v>
      </c>
      <c r="V31" s="108" t="s">
        <v>312</v>
      </c>
      <c r="W31" s="108" t="s">
        <v>312</v>
      </c>
      <c r="X31" s="108" t="s">
        <v>312</v>
      </c>
      <c r="Y31" s="108" t="s">
        <v>312</v>
      </c>
      <c r="Z31" s="108" t="s">
        <v>312</v>
      </c>
    </row>
    <row r="32" spans="1:28" ht="30" x14ac:dyDescent="0.25">
      <c r="A32" s="19" t="s">
        <v>355</v>
      </c>
      <c r="B32" s="19"/>
      <c r="C32" s="45" t="s">
        <v>376</v>
      </c>
      <c r="D32" s="45" t="s">
        <v>377</v>
      </c>
      <c r="E32" s="45" t="s">
        <v>378</v>
      </c>
      <c r="F32" s="45" t="s">
        <v>379</v>
      </c>
      <c r="G32" s="45" t="s">
        <v>380</v>
      </c>
      <c r="H32" s="45" t="s">
        <v>338</v>
      </c>
      <c r="I32" s="45" t="s">
        <v>381</v>
      </c>
      <c r="J32" s="45" t="s">
        <v>382</v>
      </c>
      <c r="K32" s="108"/>
      <c r="L32" s="108" t="s">
        <v>312</v>
      </c>
      <c r="M32" s="108" t="s">
        <v>312</v>
      </c>
      <c r="N32" s="108" t="s">
        <v>312</v>
      </c>
      <c r="O32" s="108" t="s">
        <v>312</v>
      </c>
      <c r="P32" s="108" t="s">
        <v>312</v>
      </c>
      <c r="Q32" s="108" t="s">
        <v>312</v>
      </c>
      <c r="R32" s="108" t="s">
        <v>312</v>
      </c>
      <c r="S32" s="108" t="s">
        <v>312</v>
      </c>
      <c r="T32" s="108" t="s">
        <v>312</v>
      </c>
      <c r="U32" s="108" t="s">
        <v>312</v>
      </c>
      <c r="V32" s="108" t="s">
        <v>312</v>
      </c>
      <c r="W32" s="108" t="s">
        <v>312</v>
      </c>
      <c r="X32" s="108" t="s">
        <v>312</v>
      </c>
      <c r="Y32" s="108" t="s">
        <v>312</v>
      </c>
      <c r="Z32" s="108" t="s">
        <v>312</v>
      </c>
    </row>
    <row r="33" spans="1:26" x14ac:dyDescent="0.25">
      <c r="A33" s="108" t="s">
        <v>371</v>
      </c>
      <c r="B33" s="108" t="s">
        <v>371</v>
      </c>
      <c r="C33" s="108" t="s">
        <v>371</v>
      </c>
      <c r="D33" s="108" t="s">
        <v>371</v>
      </c>
      <c r="E33" s="108" t="s">
        <v>371</v>
      </c>
      <c r="F33" s="108" t="s">
        <v>371</v>
      </c>
      <c r="G33" s="108" t="s">
        <v>371</v>
      </c>
      <c r="H33" s="108" t="s">
        <v>371</v>
      </c>
      <c r="I33" s="108" t="s">
        <v>371</v>
      </c>
      <c r="J33" s="108" t="s">
        <v>371</v>
      </c>
      <c r="K33" s="108" t="s">
        <v>371</v>
      </c>
      <c r="L33" s="108" t="s">
        <v>312</v>
      </c>
      <c r="M33" s="108" t="s">
        <v>312</v>
      </c>
      <c r="N33" s="108" t="s">
        <v>312</v>
      </c>
      <c r="O33" s="108" t="s">
        <v>312</v>
      </c>
      <c r="P33" s="108" t="s">
        <v>312</v>
      </c>
      <c r="Q33" s="108" t="s">
        <v>312</v>
      </c>
      <c r="R33" s="108" t="s">
        <v>312</v>
      </c>
      <c r="S33" s="108" t="s">
        <v>312</v>
      </c>
      <c r="T33" s="108" t="s">
        <v>312</v>
      </c>
      <c r="U33" s="108" t="s">
        <v>312</v>
      </c>
      <c r="V33" s="108" t="s">
        <v>312</v>
      </c>
      <c r="W33" s="108" t="s">
        <v>312</v>
      </c>
      <c r="X33" s="108" t="s">
        <v>312</v>
      </c>
      <c r="Y33" s="108" t="s">
        <v>312</v>
      </c>
      <c r="Z33" s="108" t="s">
        <v>312</v>
      </c>
    </row>
    <row r="37" spans="1:26" x14ac:dyDescent="0.25">
      <c r="A37" s="110"/>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56" t="str">
        <f>'1. паспорт местоположение'!$A$5</f>
        <v>Год раскрытия информации: 2025 год</v>
      </c>
      <c r="B5" s="256"/>
      <c r="C5" s="256"/>
      <c r="D5" s="256"/>
      <c r="E5" s="256"/>
      <c r="F5" s="256"/>
      <c r="G5" s="256"/>
      <c r="H5" s="256"/>
      <c r="I5" s="256"/>
      <c r="J5" s="256"/>
      <c r="K5" s="256"/>
      <c r="L5" s="256"/>
      <c r="M5" s="256"/>
      <c r="N5" s="256"/>
      <c r="O5" s="256"/>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70" t="s">
        <v>5</v>
      </c>
      <c r="B7" s="270"/>
      <c r="C7" s="270"/>
      <c r="D7" s="270"/>
      <c r="E7" s="270"/>
      <c r="F7" s="270"/>
      <c r="G7" s="270"/>
      <c r="H7" s="270"/>
      <c r="I7" s="270"/>
      <c r="J7" s="270"/>
      <c r="K7" s="270"/>
      <c r="L7" s="270"/>
      <c r="M7" s="270"/>
      <c r="N7" s="270"/>
      <c r="O7" s="270"/>
      <c r="P7" s="89"/>
      <c r="Q7" s="89"/>
      <c r="R7" s="89"/>
      <c r="S7" s="89"/>
      <c r="T7" s="89"/>
      <c r="U7" s="89"/>
      <c r="V7" s="89"/>
      <c r="W7" s="89"/>
      <c r="X7" s="89"/>
      <c r="Y7" s="89"/>
      <c r="Z7" s="89"/>
    </row>
    <row r="8" spans="1:28" s="31" customFormat="1" ht="18.75" x14ac:dyDescent="0.2">
      <c r="A8" s="270"/>
      <c r="B8" s="270"/>
      <c r="C8" s="270"/>
      <c r="D8" s="270"/>
      <c r="E8" s="270"/>
      <c r="F8" s="270"/>
      <c r="G8" s="270"/>
      <c r="H8" s="270"/>
      <c r="I8" s="270"/>
      <c r="J8" s="270"/>
      <c r="K8" s="270"/>
      <c r="L8" s="270"/>
      <c r="M8" s="270"/>
      <c r="N8" s="270"/>
      <c r="O8" s="270"/>
      <c r="P8" s="89"/>
      <c r="Q8" s="89"/>
      <c r="R8" s="89"/>
      <c r="S8" s="89"/>
      <c r="T8" s="89"/>
      <c r="U8" s="89"/>
      <c r="V8" s="89"/>
      <c r="W8" s="89"/>
      <c r="X8" s="89"/>
      <c r="Y8" s="89"/>
      <c r="Z8" s="89"/>
    </row>
    <row r="9" spans="1:28" s="31" customFormat="1" ht="18.75" x14ac:dyDescent="0.2">
      <c r="A9" s="271" t="s">
        <v>249</v>
      </c>
      <c r="B9" s="271"/>
      <c r="C9" s="271"/>
      <c r="D9" s="271"/>
      <c r="E9" s="271"/>
      <c r="F9" s="271"/>
      <c r="G9" s="271"/>
      <c r="H9" s="271"/>
      <c r="I9" s="271"/>
      <c r="J9" s="271"/>
      <c r="K9" s="271"/>
      <c r="L9" s="271"/>
      <c r="M9" s="271"/>
      <c r="N9" s="271"/>
      <c r="O9" s="271"/>
      <c r="P9" s="89"/>
      <c r="Q9" s="89"/>
      <c r="R9" s="89"/>
      <c r="S9" s="89"/>
      <c r="T9" s="89"/>
      <c r="U9" s="89"/>
      <c r="V9" s="89"/>
      <c r="W9" s="89"/>
      <c r="X9" s="89"/>
      <c r="Y9" s="89"/>
      <c r="Z9" s="89"/>
    </row>
    <row r="10" spans="1:28" s="31" customFormat="1" ht="18.75" x14ac:dyDescent="0.2">
      <c r="A10" s="274" t="s">
        <v>4</v>
      </c>
      <c r="B10" s="274"/>
      <c r="C10" s="274"/>
      <c r="D10" s="274"/>
      <c r="E10" s="274"/>
      <c r="F10" s="274"/>
      <c r="G10" s="274"/>
      <c r="H10" s="274"/>
      <c r="I10" s="274"/>
      <c r="J10" s="274"/>
      <c r="K10" s="274"/>
      <c r="L10" s="274"/>
      <c r="M10" s="274"/>
      <c r="N10" s="274"/>
      <c r="O10" s="274"/>
      <c r="P10" s="89"/>
      <c r="Q10" s="89"/>
      <c r="R10" s="89"/>
      <c r="S10" s="89"/>
      <c r="T10" s="89"/>
      <c r="U10" s="89"/>
      <c r="V10" s="89"/>
      <c r="W10" s="89"/>
      <c r="X10" s="89"/>
      <c r="Y10" s="89"/>
      <c r="Z10" s="89"/>
    </row>
    <row r="11" spans="1:28" s="31" customFormat="1" ht="18.75" x14ac:dyDescent="0.2">
      <c r="A11" s="270"/>
      <c r="B11" s="270"/>
      <c r="C11" s="270"/>
      <c r="D11" s="270"/>
      <c r="E11" s="270"/>
      <c r="F11" s="270"/>
      <c r="G11" s="270"/>
      <c r="H11" s="270"/>
      <c r="I11" s="270"/>
      <c r="J11" s="270"/>
      <c r="K11" s="270"/>
      <c r="L11" s="270"/>
      <c r="M11" s="270"/>
      <c r="N11" s="270"/>
      <c r="O11" s="270"/>
      <c r="P11" s="89"/>
      <c r="Q11" s="89"/>
      <c r="R11" s="89"/>
      <c r="S11" s="89"/>
      <c r="T11" s="89"/>
      <c r="U11" s="89"/>
      <c r="V11" s="89"/>
      <c r="W11" s="89"/>
      <c r="X11" s="89"/>
      <c r="Y11" s="89"/>
      <c r="Z11" s="89"/>
    </row>
    <row r="12" spans="1:28" s="31" customFormat="1" ht="18.75" x14ac:dyDescent="0.2">
      <c r="A12" s="271" t="str">
        <f>'1. паспорт местоположение'!A12:C12</f>
        <v>K_Che303</v>
      </c>
      <c r="B12" s="271"/>
      <c r="C12" s="271"/>
      <c r="D12" s="271"/>
      <c r="E12" s="271"/>
      <c r="F12" s="271"/>
      <c r="G12" s="271"/>
      <c r="H12" s="271"/>
      <c r="I12" s="271"/>
      <c r="J12" s="271"/>
      <c r="K12" s="271"/>
      <c r="L12" s="271"/>
      <c r="M12" s="271"/>
      <c r="N12" s="271"/>
      <c r="O12" s="271"/>
      <c r="P12" s="89"/>
      <c r="Q12" s="89"/>
      <c r="R12" s="89"/>
      <c r="S12" s="89"/>
      <c r="T12" s="89"/>
      <c r="U12" s="89"/>
      <c r="V12" s="89"/>
      <c r="W12" s="89"/>
      <c r="X12" s="89"/>
      <c r="Y12" s="89"/>
      <c r="Z12" s="89"/>
    </row>
    <row r="13" spans="1:28" s="31" customFormat="1" ht="18.75" x14ac:dyDescent="0.2">
      <c r="A13" s="274" t="s">
        <v>3</v>
      </c>
      <c r="B13" s="274"/>
      <c r="C13" s="274"/>
      <c r="D13" s="274"/>
      <c r="E13" s="274"/>
      <c r="F13" s="274"/>
      <c r="G13" s="274"/>
      <c r="H13" s="274"/>
      <c r="I13" s="274"/>
      <c r="J13" s="274"/>
      <c r="K13" s="274"/>
      <c r="L13" s="274"/>
      <c r="M13" s="274"/>
      <c r="N13" s="274"/>
      <c r="O13" s="274"/>
      <c r="P13" s="89"/>
      <c r="Q13" s="89"/>
      <c r="R13" s="89"/>
      <c r="S13" s="89"/>
      <c r="T13" s="89"/>
      <c r="U13" s="89"/>
      <c r="V13" s="89"/>
      <c r="W13" s="89"/>
      <c r="X13" s="89"/>
      <c r="Y13" s="89"/>
      <c r="Z13" s="89"/>
    </row>
    <row r="14" spans="1:28" s="90" customFormat="1" ht="15.75" customHeight="1" x14ac:dyDescent="0.2">
      <c r="A14" s="275"/>
      <c r="B14" s="275"/>
      <c r="C14" s="275"/>
      <c r="D14" s="275"/>
      <c r="E14" s="275"/>
      <c r="F14" s="275"/>
      <c r="G14" s="275"/>
      <c r="H14" s="275"/>
      <c r="I14" s="275"/>
      <c r="J14" s="275"/>
      <c r="K14" s="275"/>
      <c r="L14" s="275"/>
      <c r="M14" s="275"/>
      <c r="N14" s="275"/>
      <c r="O14" s="275"/>
      <c r="P14" s="37"/>
      <c r="Q14" s="37"/>
      <c r="R14" s="37"/>
      <c r="S14" s="37"/>
      <c r="T14" s="37"/>
      <c r="U14" s="37"/>
      <c r="V14" s="37"/>
      <c r="W14" s="37"/>
      <c r="X14" s="37"/>
      <c r="Y14" s="37"/>
      <c r="Z14" s="37"/>
    </row>
    <row r="15" spans="1:28" s="92" customFormat="1" ht="18.75" x14ac:dyDescent="0.2">
      <c r="A15" s="277"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71"/>
      <c r="C15" s="271"/>
      <c r="D15" s="271"/>
      <c r="E15" s="271"/>
      <c r="F15" s="271"/>
      <c r="G15" s="271"/>
      <c r="H15" s="271"/>
      <c r="I15" s="271"/>
      <c r="J15" s="271"/>
      <c r="K15" s="271"/>
      <c r="L15" s="271"/>
      <c r="M15" s="271"/>
      <c r="N15" s="271"/>
      <c r="O15" s="271"/>
      <c r="P15" s="91"/>
      <c r="Q15" s="91"/>
      <c r="R15" s="91"/>
      <c r="S15" s="91"/>
      <c r="T15" s="91"/>
      <c r="U15" s="91"/>
      <c r="V15" s="91"/>
      <c r="W15" s="91"/>
      <c r="X15" s="91"/>
      <c r="Y15" s="91"/>
      <c r="Z15" s="91"/>
    </row>
    <row r="16" spans="1:28" s="92" customFormat="1" ht="15" customHeight="1" x14ac:dyDescent="0.2">
      <c r="A16" s="274" t="s">
        <v>2</v>
      </c>
      <c r="B16" s="274"/>
      <c r="C16" s="274"/>
      <c r="D16" s="274"/>
      <c r="E16" s="274"/>
      <c r="F16" s="274"/>
      <c r="G16" s="274"/>
      <c r="H16" s="274"/>
      <c r="I16" s="274"/>
      <c r="J16" s="274"/>
      <c r="K16" s="274"/>
      <c r="L16" s="274"/>
      <c r="M16" s="274"/>
      <c r="N16" s="274"/>
      <c r="O16" s="274"/>
      <c r="P16" s="93"/>
      <c r="Q16" s="93"/>
      <c r="R16" s="93"/>
      <c r="S16" s="93"/>
      <c r="T16" s="93"/>
      <c r="U16" s="93"/>
      <c r="V16" s="93"/>
      <c r="W16" s="93"/>
      <c r="X16" s="93"/>
      <c r="Y16" s="93"/>
      <c r="Z16" s="93"/>
    </row>
    <row r="17" spans="1:26" s="92" customFormat="1" ht="15" customHeight="1" x14ac:dyDescent="0.2">
      <c r="A17" s="272"/>
      <c r="B17" s="272"/>
      <c r="C17" s="272"/>
      <c r="D17" s="272"/>
      <c r="E17" s="272"/>
      <c r="F17" s="272"/>
      <c r="G17" s="272"/>
      <c r="H17" s="272"/>
      <c r="I17" s="272"/>
      <c r="J17" s="272"/>
      <c r="K17" s="272"/>
      <c r="L17" s="272"/>
      <c r="M17" s="272"/>
      <c r="N17" s="272"/>
      <c r="O17" s="272"/>
      <c r="P17" s="38"/>
      <c r="Q17" s="38"/>
      <c r="R17" s="38"/>
      <c r="S17" s="38"/>
      <c r="T17" s="38"/>
      <c r="U17" s="38"/>
      <c r="V17" s="38"/>
      <c r="W17" s="38"/>
    </row>
    <row r="18" spans="1:26" s="92" customFormat="1" ht="91.5" customHeight="1" x14ac:dyDescent="0.2">
      <c r="A18" s="304" t="s">
        <v>383</v>
      </c>
      <c r="B18" s="304"/>
      <c r="C18" s="304"/>
      <c r="D18" s="304"/>
      <c r="E18" s="304"/>
      <c r="F18" s="304"/>
      <c r="G18" s="304"/>
      <c r="H18" s="304"/>
      <c r="I18" s="304"/>
      <c r="J18" s="304"/>
      <c r="K18" s="304"/>
      <c r="L18" s="304"/>
      <c r="M18" s="304"/>
      <c r="N18" s="304"/>
      <c r="O18" s="304"/>
      <c r="P18" s="94"/>
      <c r="Q18" s="94"/>
      <c r="R18" s="94"/>
      <c r="S18" s="94"/>
      <c r="T18" s="94"/>
      <c r="U18" s="94"/>
      <c r="V18" s="94"/>
      <c r="W18" s="94"/>
      <c r="X18" s="94"/>
      <c r="Y18" s="94"/>
      <c r="Z18" s="94"/>
    </row>
    <row r="19" spans="1:26" s="92" customFormat="1" ht="78" customHeight="1" x14ac:dyDescent="0.2">
      <c r="A19" s="264" t="s">
        <v>1</v>
      </c>
      <c r="B19" s="264" t="s">
        <v>384</v>
      </c>
      <c r="C19" s="264" t="s">
        <v>385</v>
      </c>
      <c r="D19" s="264" t="s">
        <v>386</v>
      </c>
      <c r="E19" s="305" t="s">
        <v>387</v>
      </c>
      <c r="F19" s="306"/>
      <c r="G19" s="306"/>
      <c r="H19" s="306"/>
      <c r="I19" s="307"/>
      <c r="J19" s="264" t="s">
        <v>388</v>
      </c>
      <c r="K19" s="264"/>
      <c r="L19" s="264"/>
      <c r="M19" s="264"/>
      <c r="N19" s="264"/>
      <c r="O19" s="264"/>
      <c r="P19" s="38"/>
      <c r="Q19" s="38"/>
      <c r="R19" s="38"/>
      <c r="S19" s="38"/>
      <c r="T19" s="38"/>
      <c r="U19" s="38"/>
      <c r="V19" s="38"/>
      <c r="W19" s="38"/>
    </row>
    <row r="20" spans="1:26" s="92" customFormat="1" ht="51" customHeight="1" x14ac:dyDescent="0.2">
      <c r="A20" s="264"/>
      <c r="B20" s="264"/>
      <c r="C20" s="264"/>
      <c r="D20" s="264"/>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14" customFormat="1" ht="126" x14ac:dyDescent="0.2">
      <c r="A22" s="229" t="s">
        <v>18</v>
      </c>
      <c r="B22" s="229" t="s">
        <v>551</v>
      </c>
      <c r="C22" s="230" t="s">
        <v>552</v>
      </c>
      <c r="D22" s="230" t="s">
        <v>553</v>
      </c>
      <c r="E22" s="231" t="s">
        <v>554</v>
      </c>
      <c r="F22" s="231" t="s">
        <v>555</v>
      </c>
      <c r="G22" s="231" t="s">
        <v>556</v>
      </c>
      <c r="H22" s="231" t="s">
        <v>557</v>
      </c>
      <c r="I22" s="231" t="s">
        <v>312</v>
      </c>
      <c r="J22" s="231">
        <v>239.47472559999994</v>
      </c>
      <c r="K22" s="231" t="s">
        <v>312</v>
      </c>
      <c r="L22" s="231" t="s">
        <v>312</v>
      </c>
      <c r="M22" s="231" t="s">
        <v>312</v>
      </c>
      <c r="N22" s="231" t="s">
        <v>312</v>
      </c>
      <c r="O22" s="231" t="s">
        <v>312</v>
      </c>
      <c r="P22" s="227"/>
      <c r="Q22" s="227"/>
      <c r="R22" s="227"/>
      <c r="S22" s="227"/>
      <c r="T22" s="227"/>
      <c r="U22" s="227"/>
      <c r="V22" s="121"/>
      <c r="W22" s="121"/>
      <c r="X22" s="121"/>
      <c r="Y22" s="121"/>
      <c r="Z22" s="121"/>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7" workbookViewId="0">
      <selection activeCell="A24" sqref="A24:XFD24"/>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56" t="str">
        <f>'1. паспорт местоположение'!$A$5</f>
        <v>Год раскрытия информации: 2025 год</v>
      </c>
      <c r="B5" s="256"/>
      <c r="C5" s="256"/>
      <c r="D5" s="256"/>
      <c r="E5" s="256"/>
      <c r="F5" s="256"/>
    </row>
    <row r="6" spans="1:6" ht="15.75" x14ac:dyDescent="0.25">
      <c r="A6" s="35"/>
      <c r="B6" s="36"/>
      <c r="C6" s="36"/>
      <c r="D6" s="36"/>
      <c r="E6" s="36"/>
      <c r="F6" s="36"/>
    </row>
    <row r="7" spans="1:6" ht="18.75" x14ac:dyDescent="0.25">
      <c r="A7" s="270" t="s">
        <v>5</v>
      </c>
      <c r="B7" s="270"/>
      <c r="C7" s="270"/>
      <c r="D7" s="270"/>
      <c r="E7" s="270"/>
      <c r="F7" s="270"/>
    </row>
    <row r="8" spans="1:6" ht="18.75" x14ac:dyDescent="0.25">
      <c r="A8" s="67"/>
      <c r="B8" s="67"/>
      <c r="C8" s="67"/>
      <c r="D8" s="67"/>
      <c r="E8" s="67"/>
      <c r="F8" s="67"/>
    </row>
    <row r="9" spans="1:6" ht="15.75" x14ac:dyDescent="0.25">
      <c r="A9" s="314" t="s">
        <v>249</v>
      </c>
      <c r="B9" s="314"/>
      <c r="C9" s="314"/>
      <c r="D9" s="314"/>
      <c r="E9" s="314"/>
      <c r="F9" s="314"/>
    </row>
    <row r="10" spans="1:6" ht="15.75" x14ac:dyDescent="0.25">
      <c r="A10" s="274" t="s">
        <v>4</v>
      </c>
      <c r="B10" s="274"/>
      <c r="C10" s="274"/>
      <c r="D10" s="274"/>
      <c r="E10" s="274"/>
      <c r="F10" s="274"/>
    </row>
    <row r="11" spans="1:6" ht="18.75" x14ac:dyDescent="0.25">
      <c r="A11" s="67"/>
      <c r="B11" s="67"/>
      <c r="C11" s="67"/>
      <c r="D11" s="67"/>
      <c r="E11" s="67"/>
      <c r="F11" s="67"/>
    </row>
    <row r="12" spans="1:6" ht="15.75" x14ac:dyDescent="0.25">
      <c r="A12" s="314" t="str">
        <f>'1. паспорт местоположение'!A12:C12</f>
        <v>K_Che303</v>
      </c>
      <c r="B12" s="314"/>
      <c r="C12" s="314"/>
      <c r="D12" s="314"/>
      <c r="E12" s="314"/>
      <c r="F12" s="314"/>
    </row>
    <row r="13" spans="1:6" ht="15.75" x14ac:dyDescent="0.25">
      <c r="A13" s="274" t="s">
        <v>3</v>
      </c>
      <c r="B13" s="274"/>
      <c r="C13" s="274"/>
      <c r="D13" s="274"/>
      <c r="E13" s="274"/>
      <c r="F13" s="274"/>
    </row>
    <row r="14" spans="1:6" ht="18.75" x14ac:dyDescent="0.25">
      <c r="A14" s="37"/>
      <c r="B14" s="37"/>
      <c r="C14" s="37"/>
      <c r="D14" s="37"/>
      <c r="E14" s="37"/>
      <c r="F14" s="37"/>
    </row>
    <row r="15" spans="1:6" ht="53.25" customHeight="1" x14ac:dyDescent="0.25">
      <c r="A15" s="26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315"/>
      <c r="C15" s="315"/>
      <c r="D15" s="315"/>
      <c r="E15" s="315"/>
      <c r="F15" s="315"/>
    </row>
    <row r="16" spans="1:6" ht="15.75" x14ac:dyDescent="0.25">
      <c r="A16" s="274" t="s">
        <v>2</v>
      </c>
      <c r="B16" s="274"/>
      <c r="C16" s="274"/>
      <c r="D16" s="274"/>
      <c r="E16" s="274"/>
      <c r="F16" s="274"/>
    </row>
    <row r="17" spans="1:6" ht="18.75" x14ac:dyDescent="0.25">
      <c r="A17" s="38"/>
      <c r="B17" s="38"/>
      <c r="C17" s="38"/>
      <c r="D17" s="38"/>
      <c r="E17" s="38"/>
      <c r="F17" s="38"/>
    </row>
    <row r="18" spans="1:6" ht="18.75" x14ac:dyDescent="0.25">
      <c r="A18" s="271" t="s">
        <v>252</v>
      </c>
      <c r="B18" s="271"/>
      <c r="C18" s="271"/>
      <c r="D18" s="271"/>
      <c r="E18" s="271"/>
      <c r="F18" s="271"/>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08" t="s">
        <v>253</v>
      </c>
      <c r="C21" s="309"/>
      <c r="D21" s="309"/>
      <c r="E21" s="310"/>
      <c r="F21" s="39"/>
    </row>
    <row r="22" spans="1:6" ht="15.75" customHeight="1" x14ac:dyDescent="0.25">
      <c r="A22" s="39"/>
      <c r="B22" s="311" t="s">
        <v>254</v>
      </c>
      <c r="C22" s="312"/>
      <c r="D22" s="312" t="s">
        <v>255</v>
      </c>
      <c r="E22" s="313"/>
      <c r="F22" s="39"/>
    </row>
    <row r="23" spans="1:6" ht="63" x14ac:dyDescent="0.25">
      <c r="A23" s="39"/>
      <c r="B23" s="167" t="s">
        <v>256</v>
      </c>
      <c r="C23" s="168" t="s">
        <v>257</v>
      </c>
      <c r="D23" s="168" t="s">
        <v>258</v>
      </c>
      <c r="E23" s="169" t="s">
        <v>259</v>
      </c>
      <c r="F23" s="39"/>
    </row>
    <row r="24" spans="1:6" ht="16.5" customHeight="1" thickBot="1" x14ac:dyDescent="0.3">
      <c r="A24" s="39"/>
      <c r="B24" s="232">
        <v>152.08000000000001</v>
      </c>
      <c r="C24" s="233">
        <v>0.17</v>
      </c>
      <c r="D24" s="234">
        <v>6</v>
      </c>
      <c r="E24" s="235">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49" activePane="bottomRight" state="frozen"/>
      <selection activeCell="A3" sqref="A3"/>
      <selection pane="topRight" activeCell="C3" sqref="C3"/>
      <selection pane="bottomLeft" activeCell="A25" sqref="A25"/>
      <selection pane="bottomRight" activeCell="C25" sqref="C25:D5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56" t="str">
        <f>'1. паспорт местоположение'!$A$5</f>
        <v>Год раскрытия информации: 2025 год</v>
      </c>
      <c r="B5" s="256"/>
      <c r="C5" s="256"/>
      <c r="D5" s="256"/>
      <c r="E5" s="256"/>
      <c r="F5" s="256"/>
      <c r="G5" s="256"/>
      <c r="H5" s="256"/>
      <c r="I5" s="256"/>
      <c r="J5" s="256"/>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60" t="s">
        <v>5</v>
      </c>
      <c r="B7" s="260"/>
      <c r="C7" s="260"/>
      <c r="D7" s="260"/>
      <c r="E7" s="260"/>
      <c r="F7" s="260"/>
      <c r="G7" s="260"/>
      <c r="H7" s="260"/>
      <c r="I7" s="260"/>
      <c r="J7" s="260"/>
    </row>
    <row r="8" spans="1:42" ht="18.75" x14ac:dyDescent="0.25">
      <c r="A8" s="260"/>
      <c r="B8" s="260"/>
      <c r="C8" s="260"/>
      <c r="D8" s="260"/>
      <c r="E8" s="260"/>
      <c r="F8" s="260"/>
      <c r="G8" s="260"/>
      <c r="H8" s="260"/>
      <c r="I8" s="260"/>
      <c r="J8" s="260"/>
    </row>
    <row r="9" spans="1:42" x14ac:dyDescent="0.25">
      <c r="A9" s="261" t="s">
        <v>249</v>
      </c>
      <c r="B9" s="261"/>
      <c r="C9" s="261"/>
      <c r="D9" s="261"/>
      <c r="E9" s="261"/>
      <c r="F9" s="261"/>
      <c r="G9" s="261"/>
      <c r="H9" s="261"/>
      <c r="I9" s="261"/>
      <c r="J9" s="261"/>
    </row>
    <row r="10" spans="1:42" x14ac:dyDescent="0.25">
      <c r="A10" s="262" t="s">
        <v>4</v>
      </c>
      <c r="B10" s="262"/>
      <c r="C10" s="262"/>
      <c r="D10" s="262"/>
      <c r="E10" s="262"/>
      <c r="F10" s="262"/>
      <c r="G10" s="262"/>
      <c r="H10" s="262"/>
      <c r="I10" s="262"/>
      <c r="J10" s="262"/>
    </row>
    <row r="11" spans="1:42" ht="18.75" x14ac:dyDescent="0.25">
      <c r="A11" s="260"/>
      <c r="B11" s="260"/>
      <c r="C11" s="260"/>
      <c r="D11" s="260"/>
      <c r="E11" s="260"/>
      <c r="F11" s="260"/>
      <c r="G11" s="260"/>
      <c r="H11" s="260"/>
      <c r="I11" s="260"/>
      <c r="J11" s="260"/>
    </row>
    <row r="12" spans="1:42" x14ac:dyDescent="0.25">
      <c r="A12" s="261" t="str">
        <f>'1. паспорт местоположение'!A12:C12</f>
        <v>K_Che303</v>
      </c>
      <c r="B12" s="261"/>
      <c r="C12" s="261"/>
      <c r="D12" s="261"/>
      <c r="E12" s="261"/>
      <c r="F12" s="261"/>
      <c r="G12" s="261"/>
      <c r="H12" s="261"/>
      <c r="I12" s="261"/>
      <c r="J12" s="261"/>
    </row>
    <row r="13" spans="1:42" x14ac:dyDescent="0.25">
      <c r="A13" s="262" t="s">
        <v>3</v>
      </c>
      <c r="B13" s="262"/>
      <c r="C13" s="262"/>
      <c r="D13" s="262"/>
      <c r="E13" s="262"/>
      <c r="F13" s="262"/>
      <c r="G13" s="262"/>
      <c r="H13" s="262"/>
      <c r="I13" s="262"/>
      <c r="J13" s="262"/>
    </row>
    <row r="14" spans="1:42" ht="18.75" x14ac:dyDescent="0.25">
      <c r="A14" s="292"/>
      <c r="B14" s="292"/>
      <c r="C14" s="292"/>
      <c r="D14" s="292"/>
      <c r="E14" s="292"/>
      <c r="F14" s="292"/>
      <c r="G14" s="292"/>
      <c r="H14" s="292"/>
      <c r="I14" s="292"/>
      <c r="J14" s="292"/>
    </row>
    <row r="15" spans="1:42" ht="43.5" customHeight="1" x14ac:dyDescent="0.25">
      <c r="A15" s="263"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3"/>
      <c r="C15" s="263"/>
      <c r="D15" s="263"/>
      <c r="E15" s="263"/>
      <c r="F15" s="263"/>
      <c r="G15" s="263"/>
      <c r="H15" s="263"/>
      <c r="I15" s="263"/>
      <c r="J15" s="263"/>
    </row>
    <row r="16" spans="1:42" x14ac:dyDescent="0.25">
      <c r="A16" s="262" t="s">
        <v>2</v>
      </c>
      <c r="B16" s="262"/>
      <c r="C16" s="262"/>
      <c r="D16" s="262"/>
      <c r="E16" s="262"/>
      <c r="F16" s="262"/>
      <c r="G16" s="262"/>
      <c r="H16" s="262"/>
      <c r="I16" s="262"/>
      <c r="J16" s="262"/>
    </row>
    <row r="17" spans="1:10" ht="15.75" customHeight="1" x14ac:dyDescent="0.25">
      <c r="J17" s="69"/>
    </row>
    <row r="18" spans="1:10" x14ac:dyDescent="0.25">
      <c r="I18" s="5"/>
    </row>
    <row r="19" spans="1:10" ht="15.75" customHeight="1" x14ac:dyDescent="0.25">
      <c r="A19" s="325" t="s">
        <v>237</v>
      </c>
      <c r="B19" s="325"/>
      <c r="C19" s="325"/>
      <c r="D19" s="325"/>
      <c r="E19" s="325"/>
      <c r="F19" s="325"/>
      <c r="G19" s="325"/>
      <c r="H19" s="325"/>
      <c r="I19" s="325"/>
      <c r="J19" s="325"/>
    </row>
    <row r="20" spans="1:10" x14ac:dyDescent="0.25">
      <c r="A20" s="70"/>
      <c r="B20" s="70"/>
      <c r="C20" s="8"/>
      <c r="D20" s="8"/>
      <c r="E20" s="8"/>
      <c r="F20" s="8"/>
      <c r="G20" s="8"/>
      <c r="H20" s="8"/>
      <c r="I20" s="8"/>
      <c r="J20" s="8"/>
    </row>
    <row r="21" spans="1:10" ht="28.5" customHeight="1" x14ac:dyDescent="0.25">
      <c r="A21" s="316" t="s">
        <v>129</v>
      </c>
      <c r="B21" s="316" t="s">
        <v>128</v>
      </c>
      <c r="C21" s="326" t="s">
        <v>188</v>
      </c>
      <c r="D21" s="326"/>
      <c r="E21" s="326"/>
      <c r="F21" s="326"/>
      <c r="G21" s="317" t="s">
        <v>127</v>
      </c>
      <c r="H21" s="322" t="s">
        <v>190</v>
      </c>
      <c r="I21" s="316" t="s">
        <v>126</v>
      </c>
      <c r="J21" s="318" t="s">
        <v>189</v>
      </c>
    </row>
    <row r="22" spans="1:10" ht="58.5" customHeight="1" x14ac:dyDescent="0.25">
      <c r="A22" s="316"/>
      <c r="B22" s="316"/>
      <c r="C22" s="321" t="s">
        <v>0</v>
      </c>
      <c r="D22" s="321"/>
      <c r="E22" s="319" t="str">
        <f>'6.2. Паспорт фин осв ввод'!D22</f>
        <v>Факт</v>
      </c>
      <c r="F22" s="320"/>
      <c r="G22" s="317"/>
      <c r="H22" s="323"/>
      <c r="I22" s="316"/>
      <c r="J22" s="318"/>
    </row>
    <row r="23" spans="1:10" ht="31.5" x14ac:dyDescent="0.25">
      <c r="A23" s="316"/>
      <c r="B23" s="316"/>
      <c r="C23" s="17" t="s">
        <v>125</v>
      </c>
      <c r="D23" s="17" t="s">
        <v>124</v>
      </c>
      <c r="E23" s="17" t="s">
        <v>125</v>
      </c>
      <c r="F23" s="17" t="s">
        <v>124</v>
      </c>
      <c r="G23" s="317"/>
      <c r="H23" s="324"/>
      <c r="I23" s="316"/>
      <c r="J23" s="318"/>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1">
        <v>1</v>
      </c>
      <c r="B25" s="86" t="s">
        <v>123</v>
      </c>
      <c r="C25" s="400"/>
      <c r="D25" s="401"/>
      <c r="E25" s="240"/>
      <c r="F25" s="241"/>
      <c r="G25" s="242"/>
      <c r="H25" s="47"/>
      <c r="I25" s="159"/>
      <c r="J25" s="19"/>
    </row>
    <row r="26" spans="1:10" s="54" customFormat="1" ht="21.75" customHeight="1" x14ac:dyDescent="0.25">
      <c r="A26" s="171" t="s">
        <v>122</v>
      </c>
      <c r="B26" s="53" t="s">
        <v>192</v>
      </c>
      <c r="C26" s="170" t="s">
        <v>250</v>
      </c>
      <c r="D26" s="170" t="s">
        <v>250</v>
      </c>
      <c r="E26" s="243" t="s">
        <v>250</v>
      </c>
      <c r="F26" s="243" t="s">
        <v>250</v>
      </c>
      <c r="G26" s="243" t="s">
        <v>312</v>
      </c>
      <c r="H26" s="170" t="s">
        <v>312</v>
      </c>
      <c r="I26" s="159"/>
      <c r="J26" s="159"/>
    </row>
    <row r="27" spans="1:10" s="55" customFormat="1" ht="39" customHeight="1" x14ac:dyDescent="0.25">
      <c r="A27" s="171" t="s">
        <v>121</v>
      </c>
      <c r="B27" s="53" t="s">
        <v>194</v>
      </c>
      <c r="C27" s="170" t="s">
        <v>250</v>
      </c>
      <c r="D27" s="170" t="s">
        <v>250</v>
      </c>
      <c r="E27" s="243" t="s">
        <v>250</v>
      </c>
      <c r="F27" s="243" t="s">
        <v>250</v>
      </c>
      <c r="G27" s="243" t="s">
        <v>312</v>
      </c>
      <c r="H27" s="170" t="s">
        <v>312</v>
      </c>
      <c r="I27" s="159"/>
      <c r="J27" s="159"/>
    </row>
    <row r="28" spans="1:10" s="55" customFormat="1" ht="70.5" customHeight="1" x14ac:dyDescent="0.25">
      <c r="A28" s="171" t="s">
        <v>193</v>
      </c>
      <c r="B28" s="53" t="s">
        <v>198</v>
      </c>
      <c r="C28" s="170" t="s">
        <v>312</v>
      </c>
      <c r="D28" s="170" t="s">
        <v>312</v>
      </c>
      <c r="E28" s="243" t="s">
        <v>312</v>
      </c>
      <c r="F28" s="243" t="s">
        <v>312</v>
      </c>
      <c r="G28" s="243" t="s">
        <v>312</v>
      </c>
      <c r="H28" s="170" t="s">
        <v>312</v>
      </c>
      <c r="I28" s="159"/>
      <c r="J28" s="159"/>
    </row>
    <row r="29" spans="1:10" s="55" customFormat="1" ht="54" customHeight="1" x14ac:dyDescent="0.25">
      <c r="A29" s="171" t="s">
        <v>120</v>
      </c>
      <c r="B29" s="53" t="s">
        <v>197</v>
      </c>
      <c r="C29" s="170" t="s">
        <v>312</v>
      </c>
      <c r="D29" s="170" t="s">
        <v>312</v>
      </c>
      <c r="E29" s="243" t="s">
        <v>312</v>
      </c>
      <c r="F29" s="243" t="s">
        <v>312</v>
      </c>
      <c r="G29" s="243" t="s">
        <v>312</v>
      </c>
      <c r="H29" s="170" t="s">
        <v>312</v>
      </c>
      <c r="I29" s="159"/>
      <c r="J29" s="159"/>
    </row>
    <row r="30" spans="1:10" s="55" customFormat="1" ht="42" customHeight="1" x14ac:dyDescent="0.25">
      <c r="A30" s="171" t="s">
        <v>119</v>
      </c>
      <c r="B30" s="53" t="s">
        <v>199</v>
      </c>
      <c r="C30" s="170" t="s">
        <v>312</v>
      </c>
      <c r="D30" s="170" t="s">
        <v>312</v>
      </c>
      <c r="E30" s="243" t="s">
        <v>312</v>
      </c>
      <c r="F30" s="243" t="s">
        <v>312</v>
      </c>
      <c r="G30" s="243" t="s">
        <v>312</v>
      </c>
      <c r="H30" s="170" t="s">
        <v>312</v>
      </c>
      <c r="I30" s="159"/>
      <c r="J30" s="159"/>
    </row>
    <row r="31" spans="1:10" s="55" customFormat="1" ht="37.5" customHeight="1" x14ac:dyDescent="0.25">
      <c r="A31" s="171" t="s">
        <v>118</v>
      </c>
      <c r="B31" s="87" t="s">
        <v>195</v>
      </c>
      <c r="C31" s="244">
        <v>43976</v>
      </c>
      <c r="D31" s="244">
        <v>43976</v>
      </c>
      <c r="E31" s="245">
        <v>43976</v>
      </c>
      <c r="F31" s="245">
        <v>43976</v>
      </c>
      <c r="G31" s="246">
        <v>1</v>
      </c>
      <c r="H31" s="170" t="s">
        <v>312</v>
      </c>
      <c r="I31" s="159"/>
      <c r="J31" s="159"/>
    </row>
    <row r="32" spans="1:10" s="55" customFormat="1" ht="65.25" customHeight="1" x14ac:dyDescent="0.25">
      <c r="A32" s="171" t="s">
        <v>116</v>
      </c>
      <c r="B32" s="87" t="s">
        <v>200</v>
      </c>
      <c r="C32" s="244">
        <v>44895</v>
      </c>
      <c r="D32" s="244">
        <v>44895</v>
      </c>
      <c r="E32" s="245">
        <v>44895</v>
      </c>
      <c r="F32" s="245">
        <v>44895</v>
      </c>
      <c r="G32" s="223">
        <v>1</v>
      </c>
      <c r="H32" s="170" t="s">
        <v>312</v>
      </c>
      <c r="I32" s="159"/>
      <c r="J32" s="159"/>
    </row>
    <row r="33" spans="1:10" s="55" customFormat="1" ht="51.75" customHeight="1" x14ac:dyDescent="0.25">
      <c r="A33" s="171" t="s">
        <v>211</v>
      </c>
      <c r="B33" s="87" t="s">
        <v>142</v>
      </c>
      <c r="C33" s="244">
        <v>44894</v>
      </c>
      <c r="D33" s="244">
        <v>44894</v>
      </c>
      <c r="E33" s="245">
        <v>44894</v>
      </c>
      <c r="F33" s="245">
        <v>44894</v>
      </c>
      <c r="G33" s="223">
        <v>1</v>
      </c>
      <c r="H33" s="170" t="s">
        <v>312</v>
      </c>
      <c r="I33" s="159"/>
      <c r="J33" s="159"/>
    </row>
    <row r="34" spans="1:10" s="55" customFormat="1" ht="78.75" customHeight="1" x14ac:dyDescent="0.25">
      <c r="A34" s="171" t="s">
        <v>212</v>
      </c>
      <c r="B34" s="87" t="s">
        <v>204</v>
      </c>
      <c r="C34" s="170" t="s">
        <v>250</v>
      </c>
      <c r="D34" s="170" t="s">
        <v>250</v>
      </c>
      <c r="E34" s="243" t="s">
        <v>250</v>
      </c>
      <c r="F34" s="243" t="s">
        <v>250</v>
      </c>
      <c r="G34" s="246" t="s">
        <v>312</v>
      </c>
      <c r="H34" s="170" t="s">
        <v>312</v>
      </c>
      <c r="I34" s="160"/>
      <c r="J34" s="159"/>
    </row>
    <row r="35" spans="1:10" s="55" customFormat="1" ht="49.5" customHeight="1" x14ac:dyDescent="0.25">
      <c r="A35" s="171" t="s">
        <v>213</v>
      </c>
      <c r="B35" s="87" t="s">
        <v>117</v>
      </c>
      <c r="C35" s="244">
        <v>44925</v>
      </c>
      <c r="D35" s="244">
        <v>44925</v>
      </c>
      <c r="E35" s="245">
        <v>44894</v>
      </c>
      <c r="F35" s="245">
        <v>44894</v>
      </c>
      <c r="G35" s="223">
        <v>1</v>
      </c>
      <c r="H35" s="170" t="s">
        <v>312</v>
      </c>
      <c r="I35" s="160"/>
      <c r="J35" s="159"/>
    </row>
    <row r="36" spans="1:10" s="54" customFormat="1" ht="37.5" customHeight="1" x14ac:dyDescent="0.25">
      <c r="A36" s="171" t="s">
        <v>214</v>
      </c>
      <c r="B36" s="87" t="s">
        <v>196</v>
      </c>
      <c r="C36" s="170" t="s">
        <v>312</v>
      </c>
      <c r="D36" s="170" t="s">
        <v>312</v>
      </c>
      <c r="E36" s="243" t="s">
        <v>312</v>
      </c>
      <c r="F36" s="243" t="s">
        <v>312</v>
      </c>
      <c r="G36" s="246" t="s">
        <v>312</v>
      </c>
      <c r="H36" s="172" t="s">
        <v>312</v>
      </c>
      <c r="I36" s="159"/>
      <c r="J36" s="159"/>
    </row>
    <row r="37" spans="1:10" s="54" customFormat="1" ht="21.75" customHeight="1" x14ac:dyDescent="0.25">
      <c r="A37" s="171" t="s">
        <v>215</v>
      </c>
      <c r="B37" s="87" t="s">
        <v>115</v>
      </c>
      <c r="C37" s="178">
        <v>43976</v>
      </c>
      <c r="D37" s="178">
        <v>44895</v>
      </c>
      <c r="E37" s="247">
        <f>E31</f>
        <v>43976</v>
      </c>
      <c r="F37" s="247">
        <f>F32</f>
        <v>44895</v>
      </c>
      <c r="G37" s="223">
        <v>1</v>
      </c>
      <c r="H37" s="172" t="s">
        <v>312</v>
      </c>
      <c r="I37" s="159"/>
      <c r="J37" s="159"/>
    </row>
    <row r="38" spans="1:10" s="54" customFormat="1" ht="34.5" customHeight="1" x14ac:dyDescent="0.25">
      <c r="A38" s="171">
        <v>2</v>
      </c>
      <c r="B38" s="86" t="s">
        <v>114</v>
      </c>
      <c r="C38" s="248"/>
      <c r="D38" s="248"/>
      <c r="E38" s="249"/>
      <c r="F38" s="249"/>
      <c r="G38" s="243"/>
      <c r="H38" s="170"/>
      <c r="I38" s="159"/>
      <c r="J38" s="159"/>
    </row>
    <row r="39" spans="1:10" s="54" customFormat="1" ht="78.75" customHeight="1" x14ac:dyDescent="0.25">
      <c r="A39" s="171" t="s">
        <v>113</v>
      </c>
      <c r="B39" s="87" t="s">
        <v>201</v>
      </c>
      <c r="C39" s="178">
        <v>45258</v>
      </c>
      <c r="D39" s="178">
        <v>45258</v>
      </c>
      <c r="E39" s="247" t="s">
        <v>563</v>
      </c>
      <c r="F39" s="247" t="s">
        <v>563</v>
      </c>
      <c r="G39" s="223">
        <v>1</v>
      </c>
      <c r="H39" s="172" t="s">
        <v>312</v>
      </c>
      <c r="I39" s="159"/>
      <c r="J39" s="159"/>
    </row>
    <row r="40" spans="1:10" s="54" customFormat="1" ht="33.75" customHeight="1" x14ac:dyDescent="0.25">
      <c r="A40" s="171" t="s">
        <v>112</v>
      </c>
      <c r="B40" s="87" t="s">
        <v>203</v>
      </c>
      <c r="C40" s="178">
        <v>44902</v>
      </c>
      <c r="D40" s="178">
        <v>44915</v>
      </c>
      <c r="E40" s="247" t="s">
        <v>518</v>
      </c>
      <c r="F40" s="247">
        <v>44905</v>
      </c>
      <c r="G40" s="223">
        <v>1</v>
      </c>
      <c r="H40" s="172" t="s">
        <v>312</v>
      </c>
      <c r="I40" s="159"/>
      <c r="J40" s="159"/>
    </row>
    <row r="41" spans="1:10" s="54" customFormat="1" ht="63" customHeight="1" x14ac:dyDescent="0.25">
      <c r="A41" s="171">
        <v>3</v>
      </c>
      <c r="B41" s="86" t="s">
        <v>248</v>
      </c>
      <c r="C41" s="248"/>
      <c r="D41" s="248"/>
      <c r="E41" s="249"/>
      <c r="F41" s="249"/>
      <c r="G41" s="246"/>
      <c r="H41" s="172"/>
      <c r="I41" s="159"/>
      <c r="J41" s="159"/>
    </row>
    <row r="42" spans="1:10" s="54" customFormat="1" ht="58.5" customHeight="1" x14ac:dyDescent="0.25">
      <c r="A42" s="171" t="s">
        <v>111</v>
      </c>
      <c r="B42" s="87" t="s">
        <v>202</v>
      </c>
      <c r="C42" s="178" t="s">
        <v>563</v>
      </c>
      <c r="D42" s="178" t="s">
        <v>563</v>
      </c>
      <c r="E42" s="250">
        <v>45187</v>
      </c>
      <c r="F42" s="250">
        <v>45194</v>
      </c>
      <c r="G42" s="223">
        <v>1</v>
      </c>
      <c r="H42" s="172" t="s">
        <v>312</v>
      </c>
      <c r="I42" s="159"/>
      <c r="J42" s="159"/>
    </row>
    <row r="43" spans="1:10" s="54" customFormat="1" ht="34.5" customHeight="1" x14ac:dyDescent="0.25">
      <c r="A43" s="171" t="s">
        <v>110</v>
      </c>
      <c r="B43" s="87" t="s">
        <v>109</v>
      </c>
      <c r="C43" s="178">
        <v>44905</v>
      </c>
      <c r="D43" s="178">
        <v>45280</v>
      </c>
      <c r="E43" s="247">
        <v>44905</v>
      </c>
      <c r="F43" s="247">
        <v>45261</v>
      </c>
      <c r="G43" s="223">
        <v>1</v>
      </c>
      <c r="H43" s="172" t="s">
        <v>312</v>
      </c>
      <c r="I43" s="159"/>
      <c r="J43" s="159"/>
    </row>
    <row r="44" spans="1:10" s="54" customFormat="1" ht="24.75" customHeight="1" x14ac:dyDescent="0.25">
      <c r="A44" s="171" t="s">
        <v>108</v>
      </c>
      <c r="B44" s="87" t="s">
        <v>107</v>
      </c>
      <c r="C44" s="178">
        <v>45230</v>
      </c>
      <c r="D44" s="251">
        <v>45498</v>
      </c>
      <c r="E44" s="247">
        <v>45230</v>
      </c>
      <c r="F44" s="247">
        <v>45288</v>
      </c>
      <c r="G44" s="223">
        <v>1</v>
      </c>
      <c r="H44" s="170"/>
      <c r="I44" s="159"/>
      <c r="J44" s="159"/>
    </row>
    <row r="45" spans="1:10" s="54" customFormat="1" ht="90.75" customHeight="1" x14ac:dyDescent="0.25">
      <c r="A45" s="171" t="s">
        <v>106</v>
      </c>
      <c r="B45" s="87" t="s">
        <v>207</v>
      </c>
      <c r="C45" s="252">
        <v>45645</v>
      </c>
      <c r="D45" s="252">
        <v>45645</v>
      </c>
      <c r="E45" s="252">
        <v>45460</v>
      </c>
      <c r="F45" s="252">
        <v>45460</v>
      </c>
      <c r="G45" s="223">
        <v>1</v>
      </c>
      <c r="H45" s="170" t="s">
        <v>312</v>
      </c>
      <c r="I45" s="159"/>
      <c r="J45" s="159"/>
    </row>
    <row r="46" spans="1:10" s="54" customFormat="1" ht="167.25" customHeight="1" x14ac:dyDescent="0.25">
      <c r="A46" s="171" t="s">
        <v>104</v>
      </c>
      <c r="B46" s="87" t="s">
        <v>205</v>
      </c>
      <c r="C46" s="252" t="s">
        <v>250</v>
      </c>
      <c r="D46" s="252" t="s">
        <v>250</v>
      </c>
      <c r="E46" s="252" t="s">
        <v>250</v>
      </c>
      <c r="F46" s="252" t="s">
        <v>250</v>
      </c>
      <c r="G46" s="243" t="s">
        <v>312</v>
      </c>
      <c r="H46" s="170" t="s">
        <v>312</v>
      </c>
      <c r="I46" s="159"/>
      <c r="J46" s="159"/>
    </row>
    <row r="47" spans="1:10" s="54" customFormat="1" ht="30.75" customHeight="1" x14ac:dyDescent="0.25">
      <c r="A47" s="171" t="s">
        <v>216</v>
      </c>
      <c r="B47" s="87" t="s">
        <v>105</v>
      </c>
      <c r="C47" s="250">
        <v>45646</v>
      </c>
      <c r="D47" s="250">
        <v>45652</v>
      </c>
      <c r="E47" s="252">
        <v>45368</v>
      </c>
      <c r="F47" s="252">
        <v>45460</v>
      </c>
      <c r="G47" s="223">
        <v>1</v>
      </c>
      <c r="H47" s="170" t="s">
        <v>312</v>
      </c>
      <c r="I47" s="159"/>
      <c r="J47" s="159"/>
    </row>
    <row r="48" spans="1:10" s="54" customFormat="1" ht="37.5" customHeight="1" x14ac:dyDescent="0.25">
      <c r="A48" s="171">
        <v>4</v>
      </c>
      <c r="B48" s="86" t="s">
        <v>103</v>
      </c>
      <c r="C48" s="252"/>
      <c r="D48" s="252"/>
      <c r="E48" s="252"/>
      <c r="F48" s="252"/>
      <c r="G48" s="246"/>
      <c r="H48" s="172"/>
      <c r="I48" s="159"/>
      <c r="J48" s="159"/>
    </row>
    <row r="49" spans="1:10" s="54" customFormat="1" ht="35.25" customHeight="1" x14ac:dyDescent="0.25">
      <c r="A49" s="171" t="s">
        <v>102</v>
      </c>
      <c r="B49" s="87" t="s">
        <v>101</v>
      </c>
      <c r="C49" s="250">
        <v>45653</v>
      </c>
      <c r="D49" s="250">
        <v>45655</v>
      </c>
      <c r="E49" s="252">
        <v>45498</v>
      </c>
      <c r="F49" s="252">
        <v>45500</v>
      </c>
      <c r="G49" s="223">
        <v>1</v>
      </c>
      <c r="H49" s="170" t="s">
        <v>312</v>
      </c>
      <c r="I49" s="159"/>
      <c r="J49" s="159"/>
    </row>
    <row r="50" spans="1:10" s="54" customFormat="1" ht="86.25" customHeight="1" x14ac:dyDescent="0.25">
      <c r="A50" s="171" t="s">
        <v>100</v>
      </c>
      <c r="B50" s="87" t="s">
        <v>206</v>
      </c>
      <c r="C50" s="250">
        <v>45656</v>
      </c>
      <c r="D50" s="250">
        <v>45656</v>
      </c>
      <c r="E50" s="250">
        <v>45644</v>
      </c>
      <c r="F50" s="250">
        <v>45644</v>
      </c>
      <c r="G50" s="223">
        <v>1</v>
      </c>
      <c r="H50" s="170" t="s">
        <v>312</v>
      </c>
      <c r="I50" s="159"/>
      <c r="J50" s="159"/>
    </row>
    <row r="51" spans="1:10" s="54" customFormat="1" ht="77.25" customHeight="1" x14ac:dyDescent="0.25">
      <c r="A51" s="171" t="s">
        <v>98</v>
      </c>
      <c r="B51" s="87" t="s">
        <v>208</v>
      </c>
      <c r="C51" s="250">
        <v>45463</v>
      </c>
      <c r="D51" s="252">
        <v>45463</v>
      </c>
      <c r="E51" s="250">
        <v>45475</v>
      </c>
      <c r="F51" s="250">
        <v>45475</v>
      </c>
      <c r="G51" s="223">
        <v>1</v>
      </c>
      <c r="H51" s="170" t="s">
        <v>312</v>
      </c>
      <c r="I51" s="159"/>
      <c r="J51" s="159"/>
    </row>
    <row r="52" spans="1:10" s="54" customFormat="1" ht="71.25" customHeight="1" x14ac:dyDescent="0.25">
      <c r="A52" s="171" t="s">
        <v>96</v>
      </c>
      <c r="B52" s="87" t="s">
        <v>99</v>
      </c>
      <c r="C52" s="250">
        <v>45698</v>
      </c>
      <c r="D52" s="250">
        <v>45698</v>
      </c>
      <c r="E52" s="252" t="s">
        <v>250</v>
      </c>
      <c r="F52" s="252" t="s">
        <v>250</v>
      </c>
      <c r="G52" s="243" t="s">
        <v>312</v>
      </c>
      <c r="H52" s="170" t="s">
        <v>312</v>
      </c>
      <c r="I52" s="159"/>
      <c r="J52" s="159"/>
    </row>
    <row r="53" spans="1:10" s="54" customFormat="1" ht="48" customHeight="1" x14ac:dyDescent="0.25">
      <c r="A53" s="171" t="s">
        <v>210</v>
      </c>
      <c r="B53" s="54" t="s">
        <v>209</v>
      </c>
      <c r="C53" s="250">
        <v>45656</v>
      </c>
      <c r="D53" s="250">
        <v>45656</v>
      </c>
      <c r="E53" s="250">
        <v>45656</v>
      </c>
      <c r="F53" s="250">
        <v>45656</v>
      </c>
      <c r="G53" s="223">
        <v>1</v>
      </c>
      <c r="H53" s="170" t="s">
        <v>312</v>
      </c>
      <c r="I53" s="159"/>
      <c r="J53" s="159"/>
    </row>
    <row r="54" spans="1:10" s="54" customFormat="1" ht="46.5" customHeight="1" x14ac:dyDescent="0.25">
      <c r="A54" s="171" t="s">
        <v>456</v>
      </c>
      <c r="B54" s="87" t="s">
        <v>97</v>
      </c>
      <c r="C54" s="252" t="s">
        <v>250</v>
      </c>
      <c r="D54" s="252" t="s">
        <v>250</v>
      </c>
      <c r="E54" s="252" t="s">
        <v>250</v>
      </c>
      <c r="F54" s="252" t="s">
        <v>250</v>
      </c>
      <c r="G54" s="243" t="s">
        <v>312</v>
      </c>
      <c r="H54" s="170" t="s">
        <v>312</v>
      </c>
      <c r="I54" s="159"/>
      <c r="J54" s="159"/>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2025-03-11T13:45:23Z</dcterms:modified>
</cp:coreProperties>
</file>