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11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закупке'!$A$1:$AV$27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K34" i="15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H37" i="16" l="1"/>
  <c r="G37" i="16"/>
  <c r="B29" i="22"/>
  <c r="B30" i="22"/>
  <c r="C63" i="22"/>
  <c r="C61" i="22"/>
  <c r="B38" i="22"/>
  <c r="B33" i="22"/>
  <c r="AD27" i="5"/>
  <c r="AB27" i="5"/>
  <c r="P27" i="5"/>
  <c r="R27" i="5" s="1"/>
  <c r="AF25" i="5" l="1"/>
  <c r="AG25" i="5"/>
  <c r="AH25" i="5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5" l="1"/>
  <c r="A12" i="23"/>
  <c r="A13" i="28"/>
  <c r="A11" i="27"/>
  <c r="A12" i="26"/>
  <c r="A13" i="25"/>
  <c r="A11" i="24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12" i="16" l="1"/>
  <c r="A11" i="15" l="1"/>
  <c r="A12" i="22" l="1"/>
  <c r="B22" i="22" l="1"/>
  <c r="B80" i="22"/>
  <c r="B23" i="22" l="1"/>
  <c r="E56" i="15" l="1"/>
  <c r="D64" i="15"/>
  <c r="D62" i="15"/>
  <c r="D60" i="15"/>
  <c r="D26" i="15"/>
  <c r="E57" i="15"/>
  <c r="E55" i="15"/>
  <c r="E53" i="15"/>
  <c r="E50" i="15"/>
  <c r="E48" i="15"/>
  <c r="E46" i="15"/>
  <c r="E44" i="15"/>
  <c r="E41" i="15"/>
  <c r="E39" i="15"/>
  <c r="D61" i="15"/>
  <c r="E52" i="15"/>
  <c r="E47" i="15"/>
  <c r="E38" i="15"/>
  <c r="E37" i="15"/>
  <c r="E31" i="15"/>
  <c r="D63" i="15"/>
  <c r="E36" i="15"/>
  <c r="E32" i="15"/>
  <c r="E54" i="15"/>
  <c r="E49" i="15"/>
  <c r="E45" i="15"/>
  <c r="E40" i="15"/>
  <c r="E33" i="15"/>
  <c r="D25" i="15"/>
  <c r="E34" i="15"/>
  <c r="C26" i="15" l="1"/>
  <c r="E29" i="15"/>
  <c r="C25" i="15"/>
  <c r="F26" i="15"/>
  <c r="E26" i="15" s="1"/>
  <c r="F25" i="15"/>
  <c r="E25" i="15" s="1"/>
  <c r="E28" i="15"/>
  <c r="C49" i="7" l="1"/>
  <c r="A15" i="5" l="1"/>
  <c r="A14" i="24"/>
  <c r="A15" i="6"/>
  <c r="A15" i="16" s="1"/>
  <c r="A14" i="15" s="1"/>
  <c r="A15" i="22" s="1"/>
  <c r="A14" i="27"/>
  <c r="B21" i="22"/>
  <c r="A15" i="23"/>
  <c r="A15" i="26"/>
  <c r="A16" i="25"/>
  <c r="A16" i="28"/>
  <c r="E42" i="15"/>
  <c r="B61" i="22" l="1"/>
  <c r="D61" i="22" l="1"/>
  <c r="B63" i="22" l="1"/>
  <c r="B62" i="22" l="1"/>
  <c r="D63" i="22"/>
  <c r="F27" i="15" l="1"/>
  <c r="E27" i="15" s="1"/>
  <c r="C48" i="7"/>
  <c r="B27" i="22"/>
  <c r="B60" i="22" s="1"/>
  <c r="B39" i="22" l="1"/>
  <c r="B56" i="22" s="1"/>
  <c r="B34" i="22"/>
  <c r="B54" i="22" s="1"/>
  <c r="B52" i="22" s="1"/>
  <c r="F61" i="15" l="1"/>
  <c r="E61" i="15" s="1"/>
  <c r="F63" i="15"/>
  <c r="E63" i="15" s="1"/>
  <c r="C29" i="15" l="1"/>
  <c r="C28" i="15"/>
  <c r="C27" i="15" l="1"/>
  <c r="F60" i="15" l="1"/>
  <c r="E60" i="15" s="1"/>
  <c r="F64" i="15" l="1"/>
  <c r="E64" i="15" s="1"/>
  <c r="D28" i="15" l="1"/>
  <c r="D27" i="15"/>
  <c r="D29" i="15" l="1"/>
  <c r="F62" i="15" l="1"/>
  <c r="E62" i="15" s="1"/>
</calcChain>
</file>

<file path=xl/sharedStrings.xml><?xml version="1.0" encoding="utf-8"?>
<sst xmlns="http://schemas.openxmlformats.org/spreadsheetml/2006/main" count="1163" uniqueCount="517">
  <si>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</si>
  <si>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</si>
  <si>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</si>
  <si>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</si>
  <si>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</si>
  <si>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</si>
  <si>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</si>
  <si>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</si>
  <si>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</si>
  <si>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</si>
  <si>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</si>
  <si>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</si>
  <si>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</si>
  <si>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</si>
  <si>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</si>
  <si>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</si>
  <si>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</si>
  <si>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</si>
  <si>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</si>
  <si>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</si>
  <si>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</si>
  <si>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</si>
  <si>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</si>
  <si>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</si>
  <si>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</si>
  <si>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</si>
  <si>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</si>
  <si>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</si>
  <si>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</si>
  <si>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</si>
  <si>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</si>
  <si>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</si>
  <si>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</si>
  <si>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</si>
  <si>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</si>
  <si>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</si>
  <si>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</si>
  <si>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</si>
  <si>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</si>
  <si>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</si>
  <si>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</si>
  <si>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</si>
  <si>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</si>
  <si>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</si>
  <si>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</si>
  <si>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</si>
  <si>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</si>
  <si>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</si>
  <si>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</si>
  <si>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</si>
  <si>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</si>
  <si>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</si>
  <si>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</si>
  <si>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</si>
  <si>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</si>
  <si>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</si>
  <si>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</si>
  <si>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</si>
  <si>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</si>
  <si>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</si>
  <si>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</si>
  <si>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</si>
  <si>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</si>
  <si>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</si>
  <si>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</si>
  <si>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</si>
  <si>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</si>
  <si>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</si>
  <si>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</si>
  <si>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</si>
  <si>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</si>
  <si>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</si>
  <si>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</si>
  <si>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</si>
  <si>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</si>
  <si>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</si>
  <si>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</si>
  <si>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</si>
  <si>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</si>
  <si>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</si>
  <si>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</si>
  <si>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</si>
  <si>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</si>
  <si>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</si>
  <si>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</si>
  <si>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</si>
  <si>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</si>
  <si>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</si>
  <si>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</si>
  <si>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</si>
  <si>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</si>
  <si>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</si>
  <si>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</si>
  <si>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</si>
  <si>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</si>
  <si>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</si>
  <si>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</si>
  <si>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</si>
  <si>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</si>
  <si>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</si>
  <si>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</si>
  <si>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</si>
  <si>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</si>
  <si>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</si>
  <si>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</si>
  <si>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</si>
  <si>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</si>
  <si>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</si>
  <si>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</si>
  <si>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</si>
  <si>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</si>
  <si>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</si>
  <si>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</si>
  <si>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</si>
  <si>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</si>
  <si>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</si>
  <si>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</si>
  <si>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</si>
  <si>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</si>
  <si>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</si>
  <si>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</si>
  <si>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</si>
  <si>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</si>
  <si>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</si>
  <si>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</si>
  <si>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</si>
  <si>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</si>
  <si>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</si>
  <si>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</si>
  <si>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</si>
  <si>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</si>
  <si>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</si>
  <si>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</si>
  <si>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</si>
  <si>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</si>
  <si>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</si>
  <si>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</si>
  <si>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</si>
  <si>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</si>
  <si>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</si>
  <si>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</si>
  <si>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</si>
  <si>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</si>
  <si>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</si>
  <si>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</si>
  <si>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</si>
  <si>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</si>
  <si>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</si>
  <si>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</si>
  <si>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</si>
  <si>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</si>
  <si>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</si>
  <si>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</si>
  <si>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</si>
  <si>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</si>
  <si>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</si>
  <si>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</si>
  <si>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</si>
  <si>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</si>
  <si>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</si>
  <si>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</si>
  <si>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</si>
  <si>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</si>
  <si>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</si>
  <si>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</si>
  <si>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</si>
  <si>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</si>
  <si>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</si>
  <si>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</si>
  <si>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</si>
  <si>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</si>
  <si>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</si>
  <si>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</si>
  <si>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</si>
  <si>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</si>
  <si>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</si>
  <si>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</si>
  <si>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</si>
  <si>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</si>
  <si>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</si>
  <si>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</si>
  <si>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</si>
  <si>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</si>
  <si>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</si>
  <si>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</si>
  <si>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</si>
  <si>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</si>
  <si>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</si>
  <si>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</si>
  <si>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</si>
  <si>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</si>
  <si>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</si>
  <si>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</si>
  <si>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</si>
  <si>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</si>
  <si>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</si>
  <si>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</si>
  <si>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</si>
  <si>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</si>
  <si>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</si>
  <si>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</si>
  <si>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</si>
  <si>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</si>
  <si>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</si>
  <si>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</si>
  <si>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</si>
  <si>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</si>
  <si>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</si>
  <si>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</si>
  <si>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</si>
  <si>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</si>
  <si>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</si>
  <si>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</si>
  <si>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</si>
  <si>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</si>
  <si>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</si>
  <si>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</si>
  <si>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</si>
  <si>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</si>
  <si>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</si>
  <si>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</si>
  <si>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</si>
  <si>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</si>
  <si>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</si>
  <si>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</si>
  <si>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</si>
  <si>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</si>
  <si>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</si>
  <si>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</si>
  <si>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</si>
  <si>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</si>
  <si>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</si>
  <si>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</si>
  <si>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</si>
  <si>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</si>
  <si>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</si>
  <si>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</si>
  <si>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</si>
  <si>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</si>
  <si>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</si>
  <si>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</si>
  <si>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</si>
  <si>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</si>
  <si>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</si>
  <si>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</si>
  <si>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</si>
  <si>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</si>
  <si>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</si>
  <si>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</si>
  <si>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</si>
  <si>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</si>
  <si>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</si>
  <si>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</si>
  <si>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</si>
  <si>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</si>
  <si>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</si>
  <si>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</si>
  <si>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</si>
  <si>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</si>
  <si>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</si>
  <si>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</si>
  <si>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</si>
  <si>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</si>
  <si>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</si>
  <si>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</si>
  <si>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</si>
  <si>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</si>
  <si>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</si>
  <si>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</si>
  <si>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</si>
  <si>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</si>
  <si>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</si>
  <si>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</si>
  <si>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</si>
  <si>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</si>
  <si>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</si>
  <si>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</si>
  <si>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</si>
  <si>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</si>
  <si>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</si>
  <si>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</si>
  <si>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</si>
  <si>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</si>
  <si>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</si>
  <si>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</si>
  <si>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</si>
  <si>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</si>
  <si>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</si>
  <si>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</si>
  <si>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</si>
  <si>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</si>
  <si>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</si>
  <si>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</si>
  <si>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</si>
  <si>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</si>
  <si>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</si>
  <si>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</si>
  <si>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</si>
  <si>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</si>
  <si>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</si>
  <si>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</si>
  <si>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</si>
  <si>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</si>
  <si>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</si>
  <si>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</si>
  <si>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</si>
  <si>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</si>
  <si>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</si>
  <si>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</si>
  <si>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</si>
  <si>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</si>
  <si>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</si>
  <si>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</si>
  <si>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</si>
  <si>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</si>
  <si>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</si>
  <si>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</si>
  <si>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</si>
  <si>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</si>
  <si>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</si>
  <si>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</si>
  <si>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</si>
  <si>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</si>
  <si>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</si>
  <si>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</si>
  <si>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</si>
  <si>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</si>
  <si>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</si>
  <si>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</si>
  <si>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</si>
  <si>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</si>
  <si>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</si>
  <si>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</si>
  <si>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</si>
  <si>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</si>
  <si>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</si>
  <si>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</si>
  <si>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</si>
  <si>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</si>
  <si>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</si>
  <si>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</si>
  <si>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</si>
  <si>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</si>
  <si>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</si>
  <si>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</si>
  <si>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</si>
  <si>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</si>
  <si>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</si>
  <si>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</si>
  <si>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</si>
  <si>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</si>
  <si>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</si>
  <si>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</si>
  <si>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</si>
  <si>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</si>
  <si>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</si>
  <si>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</si>
  <si>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</si>
  <si>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</si>
  <si>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</si>
  <si>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</si>
  <si>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</si>
  <si>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</si>
  <si>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</si>
  <si>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</si>
  <si>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</si>
  <si>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</si>
  <si>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</si>
  <si>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</si>
  <si>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</si>
  <si>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</si>
  <si>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</si>
  <si>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</si>
  <si>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</si>
  <si>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</si>
  <si>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</si>
  <si>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</si>
  <si>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</si>
  <si>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</si>
  <si>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</si>
  <si>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</si>
  <si>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</si>
  <si>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</si>
  <si>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</si>
  <si>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</si>
  <si>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</si>
  <si>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</si>
  <si>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</si>
  <si>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</si>
  <si>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</si>
  <si>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</si>
  <si>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</si>
  <si>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</si>
  <si>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</si>
  <si>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</si>
  <si>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</si>
  <si>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</si>
  <si>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</si>
  <si>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</si>
  <si>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</si>
  <si>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</si>
  <si>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</si>
  <si>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</si>
  <si>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</si>
  <si>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</si>
  <si>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</si>
  <si>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</si>
  <si>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</si>
  <si>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</si>
  <si>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</si>
  <si>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</si>
  <si>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</si>
  <si>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</si>
  <si>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</si>
  <si>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</si>
  <si>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</si>
  <si>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</si>
  <si>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</si>
  <si>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</si>
  <si>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</si>
  <si>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</si>
  <si>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</si>
  <si>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</si>
  <si>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</si>
  <si>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</si>
  <si>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</si>
  <si>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</si>
  <si>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</si>
  <si>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</si>
  <si>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</si>
  <si>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</si>
  <si>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</si>
  <si>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</si>
  <si>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</si>
  <si>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</si>
  <si>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</si>
  <si>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</si>
  <si>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</si>
  <si>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</si>
  <si>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</si>
  <si>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</si>
  <si>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</si>
  <si>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</si>
  <si>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</si>
  <si>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</si>
  <si>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</si>
  <si>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</si>
  <si>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</si>
  <si>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</si>
  <si>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</si>
  <si>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</si>
  <si>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</si>
  <si>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</si>
  <si>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</si>
  <si>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</si>
  <si>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</si>
  <si>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</si>
  <si>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</si>
  <si>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</si>
  <si>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</si>
  <si>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</si>
  <si>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</si>
  <si>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</si>
  <si>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</si>
  <si>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</si>
  <si>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</si>
  <si>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</si>
  <si>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</si>
  <si>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M_Che426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</si>
  <si>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</si>
  <si>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</si>
  <si>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</si>
  <si>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</si>
  <si>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</si>
  <si>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</si>
  <si>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</si>
  <si>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</si>
  <si>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>1. Строительсьво</t>
  </si>
  <si>
    <t xml:space="preserve">Строительство ВКЛ 35 кВ от ПС 110 кВ Горячеисточненская до проектируемой ПС 35/10кВ Аэровокзал с подвеской ВОЛС протяжённостью 13,4 км </t>
  </si>
  <si>
    <t xml:space="preserve">Договор технологического присоединения от 08.04.2021 №11709/2020/ЧЭ/ГРОГЭС 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</si>
  <si>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</si>
  <si>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</si>
  <si>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</si>
  <si>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</si>
  <si>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</si>
  <si>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региональный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</si>
  <si>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</si>
  <si>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35 кв - 13,4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</si>
  <si>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</si>
  <si>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</si>
  <si>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</si>
  <si>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</si>
  <si>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110 кВ Горячеисточненская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</si>
  <si>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</si>
  <si>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</si>
  <si>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4,08 млн.руб./км.</t>
  </si>
  <si>
    <t>с</t>
  </si>
  <si>
    <t xml:space="preserve">(13,4 МВА)  13,4 км </t>
  </si>
  <si>
    <t>Строительство</t>
  </si>
  <si>
    <t>в работе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</si>
  <si>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</si>
  <si>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</si>
  <si>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1 819,64 тыс. руб. с НДС.</t>
  </si>
  <si>
    <t>СМР</t>
  </si>
  <si>
    <t>СР</t>
  </si>
  <si>
    <t>конкурс</t>
  </si>
  <si>
    <t>ООО "ЛИДЕР"</t>
  </si>
  <si>
    <r>
      <t>Договор заключен на выполнение ПИР на нескольких объектов. Объем затрат по данному объекту 63 798</t>
    </r>
    <r>
      <rPr>
        <sz val="11"/>
        <rFont val="Times New Roman"/>
        <family val="1"/>
        <charset val="204"/>
      </rPr>
      <t xml:space="preserve"> тыс. ру</t>
    </r>
    <r>
      <rPr>
        <sz val="11"/>
        <color indexed="8"/>
        <rFont val="Times New Roman"/>
        <family val="1"/>
        <charset val="204"/>
      </rPr>
      <t>б. с НДС.</t>
    </r>
  </si>
  <si>
    <t>ООО "ЛИДЕР" от 12.12.2022 № 08-2022-СМР-ЧЭ. Объем затрат по объекту 63,80 млн руб. с НДС</t>
  </si>
  <si>
    <t>объем заключенного договора в ценах 2022 года с НДС, млн. руб.</t>
  </si>
  <si>
    <t>ООО "ФИРМА ОРГРЭС" № 04-21-ПИР-ЧЭ от 30.07.2021. Объем затрат по объекту 1,82 млн руб. с НДС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</si>
  <si>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</si>
  <si>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</si>
  <si>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</si>
  <si>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</si>
  <si>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ООО "ФИРМА ОРГРЭС" № 04-21-ПИР-ЧЭ от 30.07.2021.</t>
  </si>
  <si>
    <t>4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</si>
</sst>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30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 applyAlignment="1">
      <alignment horizontal="center" vertical="center"/>
    </xf>
    <xf numFmtId="14" fontId="34" fillId="0" borderId="10" xfId="53" applyNumberFormat="1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4" fontId="37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7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4" fontId="59" fillId="0" borderId="10" xfId="53" applyNumberFormat="1" applyFont="1" applyFill="1" applyBorder="1" applyAlignment="1">
      <alignment horizontal="center"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34" fillId="0" borderId="10" xfId="53" applyFont="1" applyFill="1" applyBorder="1"/>
    <xf numFmtId="0" fontId="34" fillId="0" borderId="10" xfId="53" applyFont="1" applyFill="1" applyBorder="1" applyAlignment="1">
      <alignment horizontal="justify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34" fillId="0" borderId="0" xfId="53" applyNumberFormat="1" applyFont="1" applyFill="1"/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1" fontId="34" fillId="0" borderId="14" xfId="53" applyNumberFormat="1" applyFont="1" applyFill="1" applyBorder="1" applyAlignment="1">
      <alignment horizontal="center" vertical="center" wrapText="1"/>
    </xf>
    <xf numFmtId="1" fontId="34" fillId="0" borderId="13" xfId="53" applyNumberFormat="1" applyFont="1" applyFill="1" applyBorder="1" applyAlignment="1">
      <alignment horizontal="center" vertical="center" wrapText="1"/>
    </xf>
    <xf numFmtId="1" fontId="37" fillId="0" borderId="14" xfId="53" applyNumberFormat="1" applyFont="1" applyFill="1" applyBorder="1" applyAlignment="1">
      <alignment horizontal="center" vertical="center" wrapText="1"/>
    </xf>
    <xf numFmtId="1" fontId="37" fillId="0" borderId="12" xfId="53" applyNumberFormat="1" applyFont="1" applyFill="1" applyBorder="1" applyAlignment="1">
      <alignment horizontal="center" vertical="center" wrapText="1"/>
    </xf>
    <xf numFmtId="1" fontId="66" fillId="0" borderId="11" xfId="53" applyNumberFormat="1" applyFont="1" applyFill="1" applyBorder="1" applyAlignment="1">
      <alignment horizontal="center" vertical="center" wrapText="1"/>
    </xf>
    <xf numFmtId="1" fontId="66" fillId="0" borderId="20" xfId="53" applyNumberFormat="1" applyFont="1" applyFill="1" applyBorder="1" applyAlignment="1">
      <alignment horizontal="center" vertical="center" wrapText="1"/>
    </xf>
    <xf numFmtId="1" fontId="66" fillId="0" borderId="19" xfId="53" applyNumberFormat="1" applyFont="1" applyFill="1" applyBorder="1" applyAlignment="1">
      <alignment horizontal="center" vertical="center" wrapText="1"/>
    </xf>
    <xf numFmtId="2" fontId="34" fillId="0" borderId="14" xfId="53" applyNumberFormat="1" applyFont="1" applyFill="1" applyBorder="1" applyAlignment="1">
      <alignment horizontal="center" vertical="center" wrapText="1"/>
    </xf>
    <xf numFmtId="2" fontId="34" fillId="0" borderId="13" xfId="53" applyNumberFormat="1" applyFont="1" applyFill="1" applyBorder="1" applyAlignment="1">
      <alignment horizontal="center" vertical="center" wrapText="1"/>
    </xf>
    <xf numFmtId="49" fontId="34" fillId="0" borderId="14" xfId="53" applyNumberFormat="1" applyFont="1" applyFill="1" applyBorder="1" applyAlignment="1">
      <alignment horizontal="center" vertical="center" wrapText="1"/>
    </xf>
    <xf numFmtId="49" fontId="34" fillId="0" borderId="13" xfId="53" applyNumberFormat="1" applyFont="1" applyFill="1" applyBorder="1" applyAlignment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57" fillId="0" borderId="10" xfId="53" applyFont="1" applyFill="1" applyBorder="1" applyAlignment="1">
      <alignment horizontal="center" vertical="center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05" t="str">
        <f>'[1]6.2. отчет'!$B$2</f>
        <v>Год раскрытия информации: 2024 год</v>
      </c>
      <c r="B5" s="205"/>
      <c r="C5" s="205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09" t="s">
        <v>5</v>
      </c>
      <c r="B7" s="209"/>
      <c r="C7" s="209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8"/>
      <c r="B8" s="68"/>
      <c r="C8" s="68"/>
      <c r="D8" s="68"/>
      <c r="E8" s="68"/>
      <c r="F8" s="68"/>
      <c r="G8" s="68"/>
      <c r="H8" s="6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10" t="s">
        <v>287</v>
      </c>
      <c r="B9" s="210"/>
      <c r="C9" s="210"/>
      <c r="D9" s="73"/>
      <c r="E9" s="73"/>
      <c r="F9" s="73"/>
      <c r="G9" s="73"/>
      <c r="H9" s="73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11" t="s">
        <v>4</v>
      </c>
      <c r="B10" s="211"/>
      <c r="C10" s="211"/>
      <c r="D10" s="74"/>
      <c r="E10" s="74"/>
      <c r="F10" s="74"/>
      <c r="G10" s="74"/>
      <c r="H10" s="7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10" t="s">
        <v>468</v>
      </c>
      <c r="B12" s="210"/>
      <c r="C12" s="210"/>
      <c r="D12" s="73"/>
      <c r="E12" s="73"/>
      <c r="F12" s="73"/>
      <c r="G12" s="73"/>
      <c r="H12" s="73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11" t="s">
        <v>3</v>
      </c>
      <c r="B13" s="211"/>
      <c r="C13" s="211"/>
      <c r="D13" s="74"/>
      <c r="E13" s="74"/>
      <c r="F13" s="74"/>
      <c r="G13" s="74"/>
      <c r="H13" s="74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2" customFormat="1" ht="15.7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43" customFormat="1" ht="53.25" customHeight="1" x14ac:dyDescent="0.2">
      <c r="A15" s="212" t="str">
        <f>VLOOKUP(A12,'[1]6.2. отчет'!$A:$C,3,0)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0"/>
      <c r="C15" s="210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spans="1:22" s="43" customFormat="1" ht="15" customHeight="1" x14ac:dyDescent="0.2">
      <c r="A16" s="206" t="s">
        <v>2</v>
      </c>
      <c r="B16" s="206"/>
      <c r="C16" s="206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43" customFormat="1" ht="15" customHeight="1" x14ac:dyDescent="0.2">
      <c r="A17" s="75"/>
      <c r="B17" s="75"/>
      <c r="C17" s="7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22" s="43" customFormat="1" ht="15" customHeight="1" x14ac:dyDescent="0.2">
      <c r="A18" s="207" t="s">
        <v>279</v>
      </c>
      <c r="B18" s="208"/>
      <c r="C18" s="208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43" customFormat="1" ht="15" customHeight="1" x14ac:dyDescent="0.2">
      <c r="A19" s="77"/>
      <c r="B19" s="77"/>
      <c r="C19" s="77"/>
      <c r="D19" s="74"/>
      <c r="E19" s="74"/>
      <c r="F19" s="74"/>
      <c r="G19" s="74"/>
      <c r="H19" s="74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22" s="43" customFormat="1" ht="39.75" customHeight="1" x14ac:dyDescent="0.2">
      <c r="A20" s="78" t="s">
        <v>1</v>
      </c>
      <c r="B20" s="79" t="s">
        <v>55</v>
      </c>
      <c r="C20" s="80" t="s">
        <v>54</v>
      </c>
      <c r="D20" s="81"/>
      <c r="E20" s="81"/>
      <c r="F20" s="81"/>
      <c r="G20" s="81"/>
      <c r="H20" s="81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2"/>
      <c r="U20" s="82"/>
      <c r="V20" s="82"/>
    </row>
    <row r="21" spans="1:22" s="43" customFormat="1" ht="16.5" customHeight="1" x14ac:dyDescent="0.2">
      <c r="A21" s="80">
        <v>1</v>
      </c>
      <c r="B21" s="79">
        <v>2</v>
      </c>
      <c r="C21" s="80">
        <v>3</v>
      </c>
      <c r="D21" s="81"/>
      <c r="E21" s="81"/>
      <c r="F21" s="81"/>
      <c r="G21" s="81"/>
      <c r="H21" s="8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82"/>
      <c r="U21" s="82"/>
      <c r="V21" s="82"/>
    </row>
    <row r="22" spans="1:22" s="43" customFormat="1" ht="39" customHeight="1" x14ac:dyDescent="0.2">
      <c r="A22" s="63" t="s">
        <v>53</v>
      </c>
      <c r="B22" s="83" t="s">
        <v>171</v>
      </c>
      <c r="C22" s="65" t="s">
        <v>480</v>
      </c>
      <c r="D22" s="81"/>
      <c r="E22" s="81"/>
      <c r="F22" s="81"/>
      <c r="G22" s="81"/>
      <c r="H22" s="81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82"/>
      <c r="U22" s="82"/>
      <c r="V22" s="82"/>
    </row>
    <row r="23" spans="1:22" s="43" customFormat="1" ht="54.75" customHeight="1" x14ac:dyDescent="0.2">
      <c r="A23" s="63" t="s">
        <v>52</v>
      </c>
      <c r="B23" s="64" t="s">
        <v>447</v>
      </c>
      <c r="C23" s="65" t="s">
        <v>481</v>
      </c>
      <c r="D23" s="81"/>
      <c r="E23" s="81"/>
      <c r="F23" s="81"/>
      <c r="G23" s="81"/>
      <c r="H23" s="8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2"/>
      <c r="U23" s="82"/>
      <c r="V23" s="82"/>
    </row>
    <row r="24" spans="1:22" s="43" customFormat="1" ht="22.5" customHeight="1" x14ac:dyDescent="0.2">
      <c r="A24" s="202"/>
      <c r="B24" s="203"/>
      <c r="C24" s="204"/>
      <c r="D24" s="81"/>
      <c r="E24" s="81"/>
      <c r="F24" s="81"/>
      <c r="G24" s="81"/>
      <c r="H24" s="81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2"/>
      <c r="U24" s="82"/>
      <c r="V24" s="82"/>
    </row>
    <row r="25" spans="1:22" s="43" customFormat="1" ht="58.5" customHeight="1" x14ac:dyDescent="0.2">
      <c r="A25" s="63" t="s">
        <v>51</v>
      </c>
      <c r="B25" s="65" t="s">
        <v>252</v>
      </c>
      <c r="C25" s="78" t="s">
        <v>482</v>
      </c>
      <c r="D25" s="81"/>
      <c r="E25" s="81"/>
      <c r="F25" s="81"/>
      <c r="G25" s="81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82"/>
      <c r="T25" s="82"/>
      <c r="U25" s="82"/>
      <c r="V25" s="82"/>
    </row>
    <row r="26" spans="1:22" s="43" customFormat="1" ht="42.75" customHeight="1" x14ac:dyDescent="0.2">
      <c r="A26" s="63" t="s">
        <v>50</v>
      </c>
      <c r="B26" s="65" t="s">
        <v>63</v>
      </c>
      <c r="C26" s="78" t="s">
        <v>483</v>
      </c>
      <c r="D26" s="81"/>
      <c r="E26" s="81"/>
      <c r="F26" s="81"/>
      <c r="G26" s="81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82"/>
      <c r="T26" s="82"/>
      <c r="U26" s="82"/>
      <c r="V26" s="82"/>
    </row>
    <row r="27" spans="1:22" s="43" customFormat="1" ht="51.75" customHeight="1" x14ac:dyDescent="0.2">
      <c r="A27" s="63" t="s">
        <v>48</v>
      </c>
      <c r="B27" s="65" t="s">
        <v>62</v>
      </c>
      <c r="C27" s="78" t="s">
        <v>484</v>
      </c>
      <c r="D27" s="81"/>
      <c r="E27" s="81"/>
      <c r="F27" s="81"/>
      <c r="G27" s="81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82"/>
      <c r="T27" s="82"/>
      <c r="U27" s="82"/>
      <c r="V27" s="82"/>
    </row>
    <row r="28" spans="1:22" s="43" customFormat="1" ht="42.75" customHeight="1" x14ac:dyDescent="0.2">
      <c r="A28" s="63" t="s">
        <v>47</v>
      </c>
      <c r="B28" s="65" t="s">
        <v>253</v>
      </c>
      <c r="C28" s="78" t="s">
        <v>288</v>
      </c>
      <c r="D28" s="81"/>
      <c r="E28" s="81"/>
      <c r="F28" s="81"/>
      <c r="G28" s="81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82"/>
      <c r="T28" s="82"/>
      <c r="U28" s="82"/>
      <c r="V28" s="82"/>
    </row>
    <row r="29" spans="1:22" s="43" customFormat="1" ht="51.75" customHeight="1" x14ac:dyDescent="0.2">
      <c r="A29" s="63" t="s">
        <v>45</v>
      </c>
      <c r="B29" s="65" t="s">
        <v>254</v>
      </c>
      <c r="C29" s="78" t="s">
        <v>288</v>
      </c>
      <c r="D29" s="81"/>
      <c r="E29" s="81"/>
      <c r="F29" s="81"/>
      <c r="G29" s="81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82"/>
      <c r="T29" s="82"/>
      <c r="U29" s="82"/>
      <c r="V29" s="82"/>
    </row>
    <row r="30" spans="1:22" s="43" customFormat="1" ht="51.75" customHeight="1" x14ac:dyDescent="0.2">
      <c r="A30" s="63" t="s">
        <v>43</v>
      </c>
      <c r="B30" s="65" t="s">
        <v>255</v>
      </c>
      <c r="C30" s="78" t="s">
        <v>288</v>
      </c>
      <c r="D30" s="81"/>
      <c r="E30" s="81"/>
      <c r="F30" s="81"/>
      <c r="G30" s="81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2"/>
      <c r="T30" s="82"/>
      <c r="U30" s="82"/>
      <c r="V30" s="82"/>
    </row>
    <row r="31" spans="1:22" s="43" customFormat="1" ht="51.75" customHeight="1" x14ac:dyDescent="0.2">
      <c r="A31" s="63" t="s">
        <v>61</v>
      </c>
      <c r="B31" s="65" t="s">
        <v>256</v>
      </c>
      <c r="C31" s="78" t="s">
        <v>449</v>
      </c>
      <c r="D31" s="81"/>
      <c r="E31" s="81"/>
      <c r="F31" s="81"/>
      <c r="G31" s="81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82"/>
      <c r="T31" s="82"/>
      <c r="U31" s="82"/>
      <c r="V31" s="82"/>
    </row>
    <row r="32" spans="1:22" s="43" customFormat="1" ht="51.75" customHeight="1" x14ac:dyDescent="0.2">
      <c r="A32" s="63" t="s">
        <v>59</v>
      </c>
      <c r="B32" s="65" t="s">
        <v>257</v>
      </c>
      <c r="C32" s="78" t="s">
        <v>449</v>
      </c>
      <c r="D32" s="81"/>
      <c r="E32" s="81"/>
      <c r="F32" s="81"/>
      <c r="G32" s="81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82"/>
      <c r="T32" s="82"/>
      <c r="U32" s="82"/>
      <c r="V32" s="82"/>
    </row>
    <row r="33" spans="1:22" s="43" customFormat="1" ht="101.25" customHeight="1" x14ac:dyDescent="0.2">
      <c r="A33" s="63" t="s">
        <v>58</v>
      </c>
      <c r="B33" s="65" t="s">
        <v>258</v>
      </c>
      <c r="C33" s="78" t="s">
        <v>485</v>
      </c>
      <c r="D33" s="81"/>
      <c r="E33" s="81"/>
      <c r="F33" s="81"/>
      <c r="G33" s="81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82"/>
      <c r="T33" s="82"/>
      <c r="U33" s="82"/>
      <c r="V33" s="82"/>
    </row>
    <row r="34" spans="1:22" ht="111" customHeight="1" x14ac:dyDescent="0.25">
      <c r="A34" s="63" t="s">
        <v>267</v>
      </c>
      <c r="B34" s="65" t="s">
        <v>259</v>
      </c>
      <c r="C34" s="78" t="s">
        <v>449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8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8" t="s">
        <v>486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8" t="s">
        <v>486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8" t="s">
        <v>486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02"/>
      <c r="B39" s="203"/>
      <c r="C39" s="204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10.25" x14ac:dyDescent="0.25">
      <c r="A40" s="63" t="s">
        <v>264</v>
      </c>
      <c r="B40" s="65" t="s">
        <v>446</v>
      </c>
      <c r="C40" s="78" t="s">
        <v>487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2" t="s">
        <v>270</v>
      </c>
      <c r="B41" s="22" t="s">
        <v>302</v>
      </c>
      <c r="C41" s="78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2" t="s">
        <v>265</v>
      </c>
      <c r="B42" s="22" t="s">
        <v>303</v>
      </c>
      <c r="C42" s="78" t="s">
        <v>488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2" t="s">
        <v>272</v>
      </c>
      <c r="B43" s="22" t="s">
        <v>304</v>
      </c>
      <c r="C43" s="78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2" t="s">
        <v>266</v>
      </c>
      <c r="B44" s="22" t="s">
        <v>305</v>
      </c>
      <c r="C44" s="78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2" t="s">
        <v>306</v>
      </c>
      <c r="B45" s="22" t="s">
        <v>307</v>
      </c>
      <c r="C45" s="78">
        <v>0.17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2" t="s">
        <v>308</v>
      </c>
      <c r="B46" s="22" t="s">
        <v>280</v>
      </c>
      <c r="C46" s="78" t="s">
        <v>489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2"/>
      <c r="B47" s="22"/>
      <c r="C47" s="33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2" t="s">
        <v>443</v>
      </c>
      <c r="B48" s="22" t="s">
        <v>284</v>
      </c>
      <c r="C48" s="189">
        <f>'6.2. Паспорт фин осв ввод'!C24</f>
        <v>65.617463011200002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2" t="s">
        <v>444</v>
      </c>
      <c r="B49" s="22" t="s">
        <v>285</v>
      </c>
      <c r="C49" s="189">
        <f>'6.2. Паспорт фин осв ввод'!C30</f>
        <v>54.681218333333334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4"/>
      <c r="B50" s="84"/>
      <c r="C50" s="84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4"/>
      <c r="B51" s="84"/>
      <c r="C51" s="84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25" zoomScale="60" zoomScaleNormal="60" zoomScaleSheetLayoutView="75" workbookViewId="0">
      <selection activeCell="H53" sqref="H53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2" width="9.140625" style="8"/>
    <col min="13" max="14" width="14.140625" style="8" bestFit="1" customWidth="1"/>
    <col min="15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05" t="str">
        <f>'1. паспорт местоположение'!$A$5</f>
        <v>Год раскрытия информации: 2024 год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</row>
    <row r="6" spans="1:11" ht="18.75" x14ac:dyDescent="0.25">
      <c r="A6" s="209" t="s">
        <v>5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10" t="str">
        <f>'6.1. Паспорт сетевой график'!A9:L9</f>
        <v>АО "Чеченэнерго"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</row>
    <row r="9" spans="1:11" ht="18.75" customHeight="1" x14ac:dyDescent="0.25">
      <c r="A9" s="211" t="s">
        <v>4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</row>
    <row r="10" spans="1:11" x14ac:dyDescent="0.25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</row>
    <row r="11" spans="1:11" x14ac:dyDescent="0.25">
      <c r="A11" s="210" t="str">
        <f>'6.1. Паспорт сетевой график'!A12:L12</f>
        <v>M_Che426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</row>
    <row r="12" spans="1:11" x14ac:dyDescent="0.25">
      <c r="A12" s="211" t="s">
        <v>3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</row>
    <row r="13" spans="1:11" ht="16.5" customHeight="1" x14ac:dyDescent="0.25">
      <c r="A13" s="81"/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1" x14ac:dyDescent="0.25">
      <c r="A14" s="212" t="str">
        <f>'6.1. Паспорт сетевой график'!A15:L15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</row>
    <row r="15" spans="1:11" ht="15.75" customHeight="1" x14ac:dyDescent="0.25">
      <c r="A15" s="211" t="s">
        <v>2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</row>
    <row r="16" spans="1:11" x14ac:dyDescent="0.25">
      <c r="A16" s="274"/>
      <c r="B16" s="274"/>
      <c r="C16" s="274"/>
      <c r="D16" s="274"/>
      <c r="E16" s="274"/>
      <c r="F16" s="274"/>
      <c r="G16" s="274"/>
      <c r="H16" s="274"/>
      <c r="I16" s="274"/>
      <c r="J16" s="274"/>
      <c r="K16" s="274"/>
    </row>
    <row r="18" spans="1:13" x14ac:dyDescent="0.25">
      <c r="A18" s="283" t="s">
        <v>274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</row>
    <row r="19" spans="1:13" x14ac:dyDescent="0.25">
      <c r="F19" s="60"/>
    </row>
    <row r="20" spans="1:13" ht="33" customHeight="1" x14ac:dyDescent="0.25">
      <c r="A20" s="278" t="s">
        <v>124</v>
      </c>
      <c r="B20" s="278" t="s">
        <v>123</v>
      </c>
      <c r="C20" s="270" t="s">
        <v>122</v>
      </c>
      <c r="D20" s="271"/>
      <c r="E20" s="279" t="s">
        <v>121</v>
      </c>
      <c r="F20" s="280"/>
      <c r="G20" s="258" t="s">
        <v>511</v>
      </c>
      <c r="H20" s="275" t="s">
        <v>512</v>
      </c>
      <c r="I20" s="276"/>
      <c r="J20" s="276"/>
      <c r="K20" s="277"/>
    </row>
    <row r="21" spans="1:13" ht="87" customHeight="1" x14ac:dyDescent="0.25">
      <c r="A21" s="278"/>
      <c r="B21" s="278"/>
      <c r="C21" s="272"/>
      <c r="D21" s="273"/>
      <c r="E21" s="281"/>
      <c r="F21" s="282"/>
      <c r="G21" s="259"/>
      <c r="H21" s="264" t="s">
        <v>0</v>
      </c>
      <c r="I21" s="265"/>
      <c r="J21" s="264" t="s">
        <v>7</v>
      </c>
      <c r="K21" s="265"/>
    </row>
    <row r="22" spans="1:13" ht="62.25" customHeight="1" x14ac:dyDescent="0.25">
      <c r="A22" s="278"/>
      <c r="B22" s="278"/>
      <c r="C22" s="193" t="s">
        <v>0</v>
      </c>
      <c r="D22" s="193" t="s">
        <v>7</v>
      </c>
      <c r="E22" s="176" t="s">
        <v>513</v>
      </c>
      <c r="F22" s="176" t="s">
        <v>514</v>
      </c>
      <c r="G22" s="260"/>
      <c r="H22" s="177" t="s">
        <v>500</v>
      </c>
      <c r="I22" s="177" t="s">
        <v>501</v>
      </c>
      <c r="J22" s="177" t="s">
        <v>500</v>
      </c>
      <c r="K22" s="177" t="s">
        <v>501</v>
      </c>
    </row>
    <row r="23" spans="1:13" ht="19.5" customHeight="1" x14ac:dyDescent="0.25">
      <c r="A23" s="194">
        <v>1</v>
      </c>
      <c r="B23" s="194">
        <v>2</v>
      </c>
      <c r="C23" s="194">
        <v>3</v>
      </c>
      <c r="D23" s="194">
        <v>4</v>
      </c>
      <c r="E23" s="194">
        <v>5</v>
      </c>
      <c r="F23" s="194">
        <v>6</v>
      </c>
      <c r="G23" s="194">
        <v>7</v>
      </c>
      <c r="H23" s="194">
        <v>8</v>
      </c>
      <c r="I23" s="194">
        <v>9</v>
      </c>
      <c r="J23" s="194">
        <v>10</v>
      </c>
      <c r="K23" s="194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78">
        <f>VLOOKUP($A$11,'[1]6.2. отчет'!$D:$K,2,0)</f>
        <v>65.617463011200002</v>
      </c>
      <c r="D24" s="178">
        <f>VLOOKUP($A$11,'[1]6.2. отчет'!$D:$K,5,0)</f>
        <v>41.596887019200004</v>
      </c>
      <c r="E24" s="178">
        <f>VLOOKUP($A$11,'[1]6.2. отчет'!$D:$K,7,0)</f>
        <v>63.797826532000002</v>
      </c>
      <c r="F24" s="178">
        <f>VLOOKUP($A$11,'[1]6.2. отчет'!$D:$K,8,0)</f>
        <v>24.020575991999998</v>
      </c>
      <c r="G24" s="178">
        <f>VLOOKUP($A$11,'[1]6.2. отчет'!$D:$BL,9,0)</f>
        <v>39.777250540000004</v>
      </c>
      <c r="H24" s="178">
        <f>VLOOKUP($A$11,'[1]6.2. отчет'!$D:$BL,15,0)</f>
        <v>0</v>
      </c>
      <c r="I24" s="178">
        <f>VLOOKUP($A$11,'[1]6.2. отчет'!$D:$CU,45,0)</f>
        <v>0</v>
      </c>
      <c r="J24" s="178">
        <f>VLOOKUP($A$11,'[1]6.2. отчет'!$D:$BL,56,0)</f>
        <v>0</v>
      </c>
      <c r="K24" s="178">
        <f>VLOOKUP($A$11,'[1]6.2. отчет'!$D:$CU,86,0)</f>
        <v>0</v>
      </c>
    </row>
    <row r="25" spans="1:13" s="36" customFormat="1" ht="21.75" customHeight="1" x14ac:dyDescent="0.25">
      <c r="A25" s="11" t="s">
        <v>119</v>
      </c>
      <c r="B25" s="7" t="s">
        <v>118</v>
      </c>
      <c r="C25" s="178">
        <f t="shared" ref="C25:C26" si="0">H25</f>
        <v>0</v>
      </c>
      <c r="D25" s="178">
        <f>G25+J25</f>
        <v>0</v>
      </c>
      <c r="E25" s="178">
        <f t="shared" ref="E25:E28" si="1">F25+G25</f>
        <v>0</v>
      </c>
      <c r="F25" s="178">
        <f t="shared" ref="F25:F26" si="2">J25</f>
        <v>0</v>
      </c>
      <c r="G25" s="178">
        <f>VLOOKUP($A$11,'[1]6.2. отчет'!$D:$BL,10,0)</f>
        <v>0</v>
      </c>
      <c r="H25" s="178">
        <f>VLOOKUP($A$11,'[1]6.2. отчет'!$D:$BL,16,0)</f>
        <v>0</v>
      </c>
      <c r="I25" s="178">
        <f>IF(H25=0,0,VLOOKUP($A$11,'[1]6.2. отчет'!$D:$CU,46,0))</f>
        <v>0</v>
      </c>
      <c r="J25" s="178">
        <f>VLOOKUP($A$11,'[1]6.2. отчет'!$D:$BL,57,0)</f>
        <v>0</v>
      </c>
      <c r="K25" s="178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78">
        <f t="shared" si="0"/>
        <v>0</v>
      </c>
      <c r="D26" s="178">
        <f>G26+J26</f>
        <v>0</v>
      </c>
      <c r="E26" s="178">
        <f t="shared" si="1"/>
        <v>0</v>
      </c>
      <c r="F26" s="178">
        <f t="shared" si="2"/>
        <v>0</v>
      </c>
      <c r="G26" s="178">
        <f>VLOOKUP($A$11,'[1]6.2. отчет'!$D:$BL,11,0)</f>
        <v>0</v>
      </c>
      <c r="H26" s="178">
        <f>VLOOKUP($A$11,'[1]6.2. отчет'!$D:$BL,17,0)</f>
        <v>0</v>
      </c>
      <c r="I26" s="178">
        <f>IF(H26=0,0,VLOOKUP($A$11,'[1]6.2. отчет'!$D:$CU,47,0))</f>
        <v>0</v>
      </c>
      <c r="J26" s="178">
        <f>VLOOKUP($A$11,'[1]6.2. отчет'!$D:$BL,58,0)</f>
        <v>0</v>
      </c>
      <c r="K26" s="178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78">
        <f>IF(C24="нд","нд",C24-(C29+C28+C26+C25))</f>
        <v>65.617463011200002</v>
      </c>
      <c r="D27" s="178">
        <f>G27+J27+D24-(G24+J24)</f>
        <v>1.8196364791999997</v>
      </c>
      <c r="E27" s="178">
        <f>F27+G27</f>
        <v>24.020575991999998</v>
      </c>
      <c r="F27" s="178">
        <f>F24-(F25+F26+F28+F29)</f>
        <v>24.020575991999998</v>
      </c>
      <c r="G27" s="178">
        <f>VLOOKUP($A$11,'[1]6.2. отчет'!$D:$BL,12,0)</f>
        <v>0</v>
      </c>
      <c r="H27" s="178">
        <f>VLOOKUP($A$11,'[1]6.2. отчет'!$D:$BL,18,0)</f>
        <v>0</v>
      </c>
      <c r="I27" s="178">
        <f>IF(H27=0,0,VLOOKUP($A$11,'[1]6.2. отчет'!$D:$CU,48,0))</f>
        <v>0</v>
      </c>
      <c r="J27" s="178">
        <f>VLOOKUP($A$11,'[1]6.2. отчет'!$D:$BL,59,0)</f>
        <v>0</v>
      </c>
      <c r="K27" s="178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78">
        <f>H28</f>
        <v>0</v>
      </c>
      <c r="D28" s="178">
        <f t="shared" ref="D28:D29" si="3">G28+J28</f>
        <v>39.777250540000004</v>
      </c>
      <c r="E28" s="178">
        <f t="shared" si="1"/>
        <v>39.777250540000004</v>
      </c>
      <c r="F28" s="178">
        <v>0</v>
      </c>
      <c r="G28" s="178">
        <f>VLOOKUP($A$11,'[1]6.2. отчет'!$D:$BL,13,0)</f>
        <v>39.777250540000004</v>
      </c>
      <c r="H28" s="178">
        <f>VLOOKUP($A$11,'[1]6.2. отчет'!$D:$BL,19,0)</f>
        <v>0</v>
      </c>
      <c r="I28" s="178">
        <f>IF(H28=0,0,VLOOKUP($A$11,'[1]6.2. отчет'!$D:$CU,49,0))</f>
        <v>0</v>
      </c>
      <c r="J28" s="178">
        <f>VLOOKUP($A$11,'[1]6.2. отчет'!$D:$BL,60,0)</f>
        <v>0</v>
      </c>
      <c r="K28" s="178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78">
        <f>H29</f>
        <v>0</v>
      </c>
      <c r="D29" s="178">
        <f t="shared" si="3"/>
        <v>0</v>
      </c>
      <c r="E29" s="178">
        <f>F29+G29</f>
        <v>0</v>
      </c>
      <c r="F29" s="178">
        <v>0</v>
      </c>
      <c r="G29" s="178">
        <f>VLOOKUP($A$11,'[1]6.2. отчет'!$D:$BL,14,0)</f>
        <v>0</v>
      </c>
      <c r="H29" s="178">
        <f>VLOOKUP($A$11,'[1]6.2. отчет'!$D:$BL,20,0)</f>
        <v>0</v>
      </c>
      <c r="I29" s="178">
        <f>IF(H29=0,0,VLOOKUP($A$11,'[1]6.2. отчет'!$D:$CU,50,0))</f>
        <v>0</v>
      </c>
      <c r="J29" s="178">
        <f>VLOOKUP($A$11,'[1]6.2. отчет'!$D:$BL,61,0)</f>
        <v>0</v>
      </c>
      <c r="K29" s="178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78">
        <f>VLOOKUP($A$11,'[1]6.2. отчет'!$D:$DB,99,0)</f>
        <v>54.681218333333334</v>
      </c>
      <c r="D30" s="178">
        <f>VLOOKUP($A$11,'[1]6.2. отчет'!$D:$FK,106,0)</f>
        <v>36.408687889999996</v>
      </c>
      <c r="E30" s="178">
        <f>VLOOKUP($A$11,'[1]6.2. отчет'!$D:$FK,108,0)</f>
        <v>53.164855443333337</v>
      </c>
      <c r="F30" s="178">
        <f>VLOOKUP($A$11,'[1]6.2. отчет'!$D:$FK,109,0)</f>
        <v>18.272530443333338</v>
      </c>
      <c r="G30" s="178">
        <f>VLOOKUP($A$11,'[1]6.2. отчет'!$D:$FK,110,0)</f>
        <v>34.892325</v>
      </c>
      <c r="H30" s="178">
        <f>VLOOKUP($A$11,'[1]6.2. отчет'!$D:$FK,115,0)</f>
        <v>0</v>
      </c>
      <c r="I30" s="178">
        <f>VLOOKUP($A$11,'[1]6.2. отчет'!$D:$AGP,124,0)</f>
        <v>0</v>
      </c>
      <c r="J30" s="178">
        <f>VLOOKUP($A$11,'[1]6.2. отчет'!$D:$FK,130,0)</f>
        <v>0</v>
      </c>
      <c r="K30" s="178">
        <f>VLOOKUP($A$11,'[1]6.2. отчет'!$D:$FK,155,0)</f>
        <v>0</v>
      </c>
      <c r="M30" s="198"/>
    </row>
    <row r="31" spans="1:13" s="36" customFormat="1" ht="21" customHeight="1" x14ac:dyDescent="0.25">
      <c r="A31" s="13" t="s">
        <v>109</v>
      </c>
      <c r="B31" s="7" t="s">
        <v>108</v>
      </c>
      <c r="C31" s="178">
        <f>VLOOKUP($A$11,'[1]6.2. отчет'!$D:$DB,100,0)</f>
        <v>1.6636230400000003</v>
      </c>
      <c r="D31" s="178">
        <v>1.5163628899999999</v>
      </c>
      <c r="E31" s="178">
        <f>F31+G31</f>
        <v>0.14726015000000037</v>
      </c>
      <c r="F31" s="178">
        <v>0.14726015000000037</v>
      </c>
      <c r="G31" s="178">
        <f>VLOOKUP($A$11,'[1]6.2. отчет'!$D:$FK,111,0)</f>
        <v>0</v>
      </c>
      <c r="H31" s="178">
        <v>0</v>
      </c>
      <c r="I31" s="178">
        <v>0</v>
      </c>
      <c r="J31" s="178">
        <f>VLOOKUP($A$11,'[1]6.2. отчет'!$D:$FK,131,0)</f>
        <v>0</v>
      </c>
      <c r="K31" s="178">
        <f>IF(J31=0,0,VLOOKUP($A$11,'[1]6.2. отчет'!$D:$FK,156,0))</f>
        <v>0</v>
      </c>
      <c r="M31" s="198"/>
    </row>
    <row r="32" spans="1:13" s="36" customFormat="1" ht="34.5" customHeight="1" x14ac:dyDescent="0.25">
      <c r="A32" s="13" t="s">
        <v>107</v>
      </c>
      <c r="B32" s="7" t="s">
        <v>106</v>
      </c>
      <c r="C32" s="178">
        <f>VLOOKUP($A$11,'[1]6.2. отчет'!$D:$DB,101,0)</f>
        <v>49.690829999999998</v>
      </c>
      <c r="D32" s="178">
        <v>34.892325</v>
      </c>
      <c r="E32" s="178">
        <f t="shared" ref="E32:E34" si="4">F32+G32</f>
        <v>49.690829999999998</v>
      </c>
      <c r="F32" s="178">
        <v>14.798504999999999</v>
      </c>
      <c r="G32" s="178">
        <f>VLOOKUP($A$11,'[1]6.2. отчет'!$D:$FK,112,0)</f>
        <v>34.892325</v>
      </c>
      <c r="H32" s="178">
        <v>0</v>
      </c>
      <c r="I32" s="178">
        <v>0</v>
      </c>
      <c r="J32" s="178">
        <f>VLOOKUP($A$11,'[1]6.2. отчет'!$D:$FK,132,0)</f>
        <v>0</v>
      </c>
      <c r="K32" s="178">
        <f>IF(J32=0,0,VLOOKUP($A$11,'[1]6.2. отчет'!$D:$FK,157,0))</f>
        <v>0</v>
      </c>
      <c r="M32" s="198"/>
    </row>
    <row r="33" spans="1:13" s="36" customFormat="1" ht="20.25" customHeight="1" x14ac:dyDescent="0.25">
      <c r="A33" s="13" t="s">
        <v>105</v>
      </c>
      <c r="B33" s="7" t="s">
        <v>104</v>
      </c>
      <c r="C33" s="178">
        <f>VLOOKUP($A$11,'[1]6.2. отчет'!$D:$DB,102,0)</f>
        <v>2.2278333333333337E-2</v>
      </c>
      <c r="D33" s="178">
        <v>0</v>
      </c>
      <c r="E33" s="178">
        <f t="shared" si="4"/>
        <v>2.2278333333333337E-2</v>
      </c>
      <c r="F33" s="178">
        <v>2.2278333333333337E-2</v>
      </c>
      <c r="G33" s="178">
        <f>VLOOKUP($A$11,'[1]6.2. отчет'!$D:$FK,113,0)</f>
        <v>0</v>
      </c>
      <c r="H33" s="178">
        <v>0</v>
      </c>
      <c r="I33" s="178">
        <v>0</v>
      </c>
      <c r="J33" s="178">
        <f>VLOOKUP($A$11,'[1]6.2. отчет'!$D:$FK,133,0)</f>
        <v>0</v>
      </c>
      <c r="K33" s="178">
        <f>IF(J33=0,0,VLOOKUP($A$11,'[1]6.2. отчет'!$D:$FK,158,0))</f>
        <v>0</v>
      </c>
      <c r="M33" s="198"/>
    </row>
    <row r="34" spans="1:13" s="36" customFormat="1" ht="17.25" customHeight="1" x14ac:dyDescent="0.25">
      <c r="A34" s="13" t="s">
        <v>103</v>
      </c>
      <c r="B34" s="7" t="s">
        <v>102</v>
      </c>
      <c r="C34" s="178">
        <f>VLOOKUP($A$11,'[1]6.2. отчет'!$D:$DB,103,0)</f>
        <v>3.3044869600000029</v>
      </c>
      <c r="D34" s="178">
        <v>0</v>
      </c>
      <c r="E34" s="178">
        <f t="shared" si="4"/>
        <v>3.3044869600000029</v>
      </c>
      <c r="F34" s="178">
        <v>3.3044869600000029</v>
      </c>
      <c r="G34" s="178">
        <f>VLOOKUP($A$11,'[1]6.2. отчет'!$D:$FK,114,0)</f>
        <v>0</v>
      </c>
      <c r="H34" s="178">
        <v>0</v>
      </c>
      <c r="I34" s="178">
        <v>0</v>
      </c>
      <c r="J34" s="178">
        <v>0</v>
      </c>
      <c r="K34" s="178">
        <f>IF(J34=0,0,VLOOKUP($A$11,'[1]6.2. отчет'!$D:$FK,159,0))</f>
        <v>0</v>
      </c>
      <c r="M34" s="198"/>
    </row>
    <row r="35" spans="1:13" s="100" customFormat="1" ht="31.5" x14ac:dyDescent="0.25">
      <c r="A35" s="13" t="s">
        <v>51</v>
      </c>
      <c r="B35" s="12" t="s">
        <v>101</v>
      </c>
      <c r="C35" s="178"/>
      <c r="D35" s="178"/>
      <c r="E35" s="178"/>
      <c r="F35" s="178"/>
      <c r="G35" s="178"/>
      <c r="H35" s="178"/>
      <c r="I35" s="179"/>
      <c r="J35" s="178"/>
      <c r="K35" s="179"/>
    </row>
    <row r="36" spans="1:13" s="36" customFormat="1" ht="31.5" x14ac:dyDescent="0.25">
      <c r="A36" s="11" t="s">
        <v>100</v>
      </c>
      <c r="B36" s="59" t="s">
        <v>99</v>
      </c>
      <c r="C36" s="178">
        <f>IF('1. паспорт местоположение'!$C$22="Прочие инвестиционные проекты",0,VLOOKUP($A$11,'[1]6.2. отчет'!$D:$FX,168,0))</f>
        <v>0</v>
      </c>
      <c r="D36" s="200">
        <v>0</v>
      </c>
      <c r="E36" s="178">
        <f>F36+G36</f>
        <v>0</v>
      </c>
      <c r="F36" s="178">
        <v>0</v>
      </c>
      <c r="G36" s="178">
        <f>IF('1. паспорт местоположение'!$C$22="Прочие инвестиционные проекты",0,VLOOKUP($A$11,'[1]6.2. отчет'!$D:$GJ,180,0))</f>
        <v>0</v>
      </c>
      <c r="H36" s="178">
        <f>IF('1. паспорт местоположение'!$C$22="Прочие инвестиционные проекты",0,VLOOKUP($A$11,'[1]6.2. отчет'!$D:$AGO,191,0))</f>
        <v>0</v>
      </c>
      <c r="I36" s="178">
        <f>IF('1. паспорт местоположение'!$C$22="Прочие инвестиционные проекты",0,VLOOKUP($A$11,'[1]6.2. отчет'!$D:$AGO,246,0))</f>
        <v>0</v>
      </c>
      <c r="J36" s="178">
        <f>IF('1. паспорт местоположение'!$C$22="Прочие инвестиционные проекты",0,VLOOKUP($A$11,'[1]6.2. отчет'!$D:$AGO,257,0))</f>
        <v>0</v>
      </c>
      <c r="K36" s="178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9" t="s">
        <v>88</v>
      </c>
      <c r="C37" s="178">
        <f>IF('1. паспорт местоположение'!$C$22="Прочие инвестиционные проекты",0,VLOOKUP($A$11,'[1]6.2. отчет'!$D:$FX,169,0))</f>
        <v>0</v>
      </c>
      <c r="D37" s="200">
        <f>VLOOKUP($A$11,'[1]6.2. отчет'!$D:$OZ,410,0)</f>
        <v>0</v>
      </c>
      <c r="E37" s="178">
        <f t="shared" ref="E37:E42" si="5">F37+G37</f>
        <v>0</v>
      </c>
      <c r="F37" s="178">
        <v>0</v>
      </c>
      <c r="G37" s="178">
        <f>IF('1. паспорт местоположение'!$C$22="Прочие инвестиционные проекты",0,VLOOKUP($A$11,'[1]6.2. отчет'!$D:$GJ,181,0))</f>
        <v>0</v>
      </c>
      <c r="H37" s="178">
        <f>IF('1. паспорт местоположение'!$C$22="Прочие инвестиционные проекты",0,VLOOKUP($A$11,'[1]6.2. отчет'!$D:$AGO,192,0))</f>
        <v>0</v>
      </c>
      <c r="I37" s="178">
        <f>IF('1. паспорт местоположение'!$C$22="Прочие инвестиционные проекты",0,VLOOKUP($A$11,'[1]6.2. отчет'!$D:$AGO,247,0))</f>
        <v>0</v>
      </c>
      <c r="J37" s="178">
        <f>IF('1. паспорт местоположение'!$C$22="Прочие инвестиционные проекты",0,VLOOKUP($A$11,'[1]6.2. отчет'!$D:$AGO,258,0))</f>
        <v>0</v>
      </c>
      <c r="K37" s="178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9" t="s">
        <v>86</v>
      </c>
      <c r="C38" s="178">
        <f>IF('1. паспорт местоположение'!$C$22="Прочие инвестиционные проекты",0,VLOOKUP($A$11,'[1]6.2. отчет'!$D:$FX,170,0))</f>
        <v>0</v>
      </c>
      <c r="D38" s="200">
        <f>VLOOKUP($A$11,'[1]6.2. отчет'!$D:$OZ,411,0)</f>
        <v>0</v>
      </c>
      <c r="E38" s="178">
        <f t="shared" si="5"/>
        <v>0</v>
      </c>
      <c r="F38" s="178">
        <v>0</v>
      </c>
      <c r="G38" s="178">
        <f>IF('1. паспорт местоположение'!$C$22="Прочие инвестиционные проекты",0,VLOOKUP($A$11,'[1]6.2. отчет'!$D:$GJ,182,0))</f>
        <v>0</v>
      </c>
      <c r="H38" s="178">
        <f>IF('1. паспорт местоположение'!$C$22="Прочие инвестиционные проекты",0,VLOOKUP($A$11,'[1]6.2. отчет'!$D:$AGO,193,0))</f>
        <v>0</v>
      </c>
      <c r="I38" s="178">
        <f>IF('1. паспорт местоположение'!$C$22="Прочие инвестиционные проекты",0,VLOOKUP($A$11,'[1]6.2. отчет'!$D:$AGO,248,0))</f>
        <v>0</v>
      </c>
      <c r="J38" s="178">
        <f>IF('1. паспорт местоположение'!$C$22="Прочие инвестиционные проекты",0,VLOOKUP($A$11,'[1]6.2. отчет'!$D:$AGO,259,0))</f>
        <v>0</v>
      </c>
      <c r="K38" s="178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78">
        <f>IF('1. паспорт местоположение'!$C$22="Прочие инвестиционные проекты",0,VLOOKUP($A$11,'[1]6.2. отчет'!$D:$FX,172,0))</f>
        <v>10.275</v>
      </c>
      <c r="D39" s="200">
        <f>VLOOKUP($A$11,'[1]6.2. отчет'!$D:$OZ,409,0)</f>
        <v>0</v>
      </c>
      <c r="E39" s="178">
        <f t="shared" si="5"/>
        <v>10.275</v>
      </c>
      <c r="F39" s="178">
        <v>10.275</v>
      </c>
      <c r="G39" s="178">
        <f>IF('1. паспорт местоположение'!$C$22="Прочие инвестиционные проекты",0,VLOOKUP($A$11,'[1]6.2. отчет'!$D:$GJ,184,0))</f>
        <v>0</v>
      </c>
      <c r="H39" s="178">
        <f>IF('1. паспорт местоположение'!$C$22="Прочие инвестиционные проекты",0,VLOOKUP($A$11,'[1]6.2. отчет'!$D:$AGO,195,0))</f>
        <v>10.275</v>
      </c>
      <c r="I39" s="178">
        <f>IF('1. паспорт местоположение'!$C$22="Прочие инвестиционные проекты",0,VLOOKUP($A$11,'[1]6.2. отчет'!$D:$AGO,250,0))</f>
        <v>0</v>
      </c>
      <c r="J39" s="178">
        <f>IF('1. паспорт местоположение'!$C$22="Прочие инвестиционные проекты",0,VLOOKUP($A$11,'[1]6.2. отчет'!$D:$AGO,261,0))</f>
        <v>0</v>
      </c>
      <c r="K39" s="178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78">
        <f>IF('1. паспорт местоположение'!$C$22="Прочие инвестиционные проекты",0,VLOOKUP($A$11,'[1]6.2. отчет'!$D:$FX,173,0))</f>
        <v>0</v>
      </c>
      <c r="D40" s="200">
        <v>0</v>
      </c>
      <c r="E40" s="178">
        <f t="shared" si="5"/>
        <v>0</v>
      </c>
      <c r="F40" s="178">
        <v>0</v>
      </c>
      <c r="G40" s="178">
        <f>IF('1. паспорт местоположение'!$C$22="Прочие инвестиционные проекты",0,VLOOKUP($A$11,'[1]6.2. отчет'!$D:$GJ,185,0))</f>
        <v>0</v>
      </c>
      <c r="H40" s="178">
        <f>IF('1. паспорт местоположение'!$C$22="Прочие инвестиционные проекты",0,VLOOKUP($A$11,'[1]6.2. отчет'!$D:$AGO,196,0))</f>
        <v>0</v>
      </c>
      <c r="I40" s="178">
        <f>IF('1. паспорт местоположение'!$C$22="Прочие инвестиционные проекты",0,VLOOKUP($A$11,'[1]6.2. отчет'!$D:$AGO,251,0))</f>
        <v>0</v>
      </c>
      <c r="J40" s="178">
        <f>IF('1. паспорт местоположение'!$C$22="Прочие инвестиционные проекты",0,VLOOKUP($A$11,'[1]6.2. отчет'!$D:$AGO,262,0))</f>
        <v>0</v>
      </c>
      <c r="K40" s="178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78">
        <f>IF('1. паспорт местоположение'!$C$22="Прочие инвестиционные проекты",0,VLOOKUP($A$11,'[1]6.2. отчет'!$D:$FX,174,0))</f>
        <v>3.12</v>
      </c>
      <c r="D41" s="200">
        <v>0</v>
      </c>
      <c r="E41" s="178">
        <f t="shared" si="5"/>
        <v>3.12</v>
      </c>
      <c r="F41" s="178">
        <v>3.12</v>
      </c>
      <c r="G41" s="178">
        <f>IF('1. паспорт местоположение'!$C$22="Прочие инвестиционные проекты",0,VLOOKUP($A$11,'[1]6.2. отчет'!$D:$GJ,186,0))</f>
        <v>0</v>
      </c>
      <c r="H41" s="178">
        <f>IF('1. паспорт местоположение'!$C$22="Прочие инвестиционные проекты",0,VLOOKUP($A$11,'[1]6.2. отчет'!$D:$AGO,197,0))</f>
        <v>3.12</v>
      </c>
      <c r="I41" s="178">
        <f>IF('1. паспорт местоположение'!$C$22="Прочие инвестиционные проекты",0,VLOOKUP($A$11,'[1]6.2. отчет'!$D:$AGO,252,0))</f>
        <v>0</v>
      </c>
      <c r="J41" s="178">
        <f>IF('1. паспорт местоположение'!$C$22="Прочие инвестиционные проекты",0,VLOOKUP($A$11,'[1]6.2. отчет'!$D:$AGO,263,0))</f>
        <v>0</v>
      </c>
      <c r="K41" s="178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9" t="s">
        <v>450</v>
      </c>
      <c r="C42" s="178">
        <f>IF('1. паспорт местоположение'!$C$22="Прочие инвестиционные проекты",0,VLOOKUP($A$11,'[1]6.2. отчет'!$D:$FX,177,0))</f>
        <v>0</v>
      </c>
      <c r="D42" s="200">
        <f>VLOOKUP($A$11,'[1]6.2. отчет'!$D:$OZ,412,0)</f>
        <v>0</v>
      </c>
      <c r="E42" s="178">
        <f t="shared" si="5"/>
        <v>0</v>
      </c>
      <c r="F42" s="178">
        <v>0</v>
      </c>
      <c r="G42" s="178">
        <f>IF('1. паспорт местоположение'!$C$22="Прочие инвестиционные проекты",0,VLOOKUP($A$11,'[1]6.2. отчет'!$D:$GJ,189,0))</f>
        <v>0</v>
      </c>
      <c r="H42" s="178">
        <f>IF('1. паспорт местоположение'!$C$22="Прочие инвестиционные проекты",0,VLOOKUP($A$11,'[1]6.2. отчет'!$D:$AGO,200,0))</f>
        <v>0</v>
      </c>
      <c r="I42" s="178">
        <f>IF('1. паспорт местоположение'!$C$22="Прочие инвестиционные проекты",0,VLOOKUP($A$11,'[1]6.2. отчет'!$D:$AGO,255,0))</f>
        <v>0</v>
      </c>
      <c r="J42" s="178">
        <f>IF('1. паспорт местоположение'!$C$22="Прочие инвестиционные проекты",0,VLOOKUP($A$11,'[1]6.2. отчет'!$D:$AGO,266,0))</f>
        <v>0</v>
      </c>
      <c r="K42" s="178">
        <f>IF('1. паспорт местоположение'!$C$22="Прочие инвестиционные проекты",0,VLOOKUP($A$11,'[1]6.2. отчет'!$D:$AGO,321,0))</f>
        <v>0</v>
      </c>
    </row>
    <row r="43" spans="1:13" s="100" customFormat="1" ht="26.25" customHeight="1" x14ac:dyDescent="0.25">
      <c r="A43" s="13" t="s">
        <v>50</v>
      </c>
      <c r="B43" s="12" t="s">
        <v>92</v>
      </c>
      <c r="C43" s="178"/>
      <c r="D43" s="200"/>
      <c r="E43" s="178"/>
      <c r="F43" s="178"/>
      <c r="G43" s="178"/>
      <c r="H43" s="178"/>
      <c r="I43" s="179"/>
      <c r="J43" s="178"/>
      <c r="K43" s="179"/>
    </row>
    <row r="44" spans="1:13" s="36" customFormat="1" x14ac:dyDescent="0.25">
      <c r="A44" s="11" t="s">
        <v>91</v>
      </c>
      <c r="B44" s="7" t="s">
        <v>90</v>
      </c>
      <c r="C44" s="178">
        <f>VLOOKUP($A$11,'[1]6.2. отчет'!$D:$FX,168,0)</f>
        <v>0</v>
      </c>
      <c r="D44" s="200">
        <v>0</v>
      </c>
      <c r="E44" s="178">
        <f t="shared" ref="E44:E50" si="6">F44+G44</f>
        <v>0</v>
      </c>
      <c r="F44" s="178">
        <v>0</v>
      </c>
      <c r="G44" s="178">
        <f>VLOOKUP($A$11,'[1]6.2. отчет'!$D:$GJ,180,0)</f>
        <v>0</v>
      </c>
      <c r="H44" s="178">
        <f>VLOOKUP($A$11,'[1]6.2. отчет'!$D:$AGO,191,0)</f>
        <v>0</v>
      </c>
      <c r="I44" s="178">
        <f>VLOOKUP($A$11,'[1]6.2. отчет'!$D:$AGO,246,0)</f>
        <v>0</v>
      </c>
      <c r="J44" s="178">
        <f>VLOOKUP($A$11,'[1]6.2. отчет'!$D:$AGO,257,0)</f>
        <v>0</v>
      </c>
      <c r="K44" s="178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78">
        <f>VLOOKUP($A$11,'[1]6.2. отчет'!$D:$FX,169,0)</f>
        <v>0</v>
      </c>
      <c r="D45" s="200">
        <f>VLOOKUP($A$11,'[1]6.2. отчет'!$D:$OZ,410,0)</f>
        <v>0</v>
      </c>
      <c r="E45" s="178">
        <f t="shared" si="6"/>
        <v>0</v>
      </c>
      <c r="F45" s="178">
        <v>0</v>
      </c>
      <c r="G45" s="178">
        <f>VLOOKUP($A$11,'[1]6.2. отчет'!$D:$GJ,181,0)</f>
        <v>0</v>
      </c>
      <c r="H45" s="178">
        <f>VLOOKUP($A$11,'[1]6.2. отчет'!$D:$AGO,192,0)</f>
        <v>0</v>
      </c>
      <c r="I45" s="178">
        <f>VLOOKUP($A$11,'[1]6.2. отчет'!$D:$AGO,247,0)</f>
        <v>0</v>
      </c>
      <c r="J45" s="178">
        <f>VLOOKUP($A$11,'[1]6.2. отчет'!$D:$AGO,258,0)</f>
        <v>0</v>
      </c>
      <c r="K45" s="178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78">
        <f>VLOOKUP($A$11,'[1]6.2. отчет'!$D:$FX,170,0)</f>
        <v>0</v>
      </c>
      <c r="D46" s="200">
        <f>VLOOKUP($A$11,'[1]6.2. отчет'!$D:$OZ,411,0)</f>
        <v>0</v>
      </c>
      <c r="E46" s="178">
        <f t="shared" si="6"/>
        <v>0</v>
      </c>
      <c r="F46" s="178">
        <v>0</v>
      </c>
      <c r="G46" s="178">
        <f>VLOOKUP($A$11,'[1]6.2. отчет'!$D:$GJ,182,0)</f>
        <v>0</v>
      </c>
      <c r="H46" s="178">
        <f>VLOOKUP($A$11,'[1]6.2. отчет'!$D:$AGO,193,0)</f>
        <v>0</v>
      </c>
      <c r="I46" s="178">
        <f>VLOOKUP($A$11,'[1]6.2. отчет'!$D:$AGO,248,0)</f>
        <v>0</v>
      </c>
      <c r="J46" s="178">
        <f>VLOOKUP($A$11,'[1]6.2. отчет'!$D:$AGO,259,0)</f>
        <v>0</v>
      </c>
      <c r="K46" s="178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78">
        <f>VLOOKUP($A$11,'[1]6.2. отчет'!$D:$FX,172,0)</f>
        <v>10.275</v>
      </c>
      <c r="D47" s="200">
        <f>VLOOKUP($A$11,'[1]6.2. отчет'!$D:$OZ,409,0)</f>
        <v>0</v>
      </c>
      <c r="E47" s="178">
        <f t="shared" si="6"/>
        <v>10.275</v>
      </c>
      <c r="F47" s="178">
        <v>10.275</v>
      </c>
      <c r="G47" s="178">
        <f>VLOOKUP($A$11,'[1]6.2. отчет'!$D:$GJ,184,0)</f>
        <v>0</v>
      </c>
      <c r="H47" s="178">
        <f>VLOOKUP($A$11,'[1]6.2. отчет'!$D:$AGO,195,0)</f>
        <v>10.275</v>
      </c>
      <c r="I47" s="178">
        <f>VLOOKUP($A$11,'[1]6.2. отчет'!$D:$AGO,250,0)</f>
        <v>0</v>
      </c>
      <c r="J47" s="178">
        <f>VLOOKUP($A$11,'[1]6.2. отчет'!$D:$AGO,261,0)</f>
        <v>0</v>
      </c>
      <c r="K47" s="178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78">
        <f>VLOOKUP($A$11,'[1]6.2. отчет'!$D:$FX,173,0)</f>
        <v>0</v>
      </c>
      <c r="D48" s="200">
        <v>0</v>
      </c>
      <c r="E48" s="178">
        <f t="shared" si="6"/>
        <v>0</v>
      </c>
      <c r="F48" s="178">
        <v>0</v>
      </c>
      <c r="G48" s="178">
        <f>VLOOKUP($A$11,'[1]6.2. отчет'!$D:$GJ,185,0)</f>
        <v>0</v>
      </c>
      <c r="H48" s="178">
        <f>VLOOKUP($A$11,'[1]6.2. отчет'!$D:$AGO,196,0)</f>
        <v>0</v>
      </c>
      <c r="I48" s="178">
        <f>VLOOKUP($A$11,'[1]6.2. отчет'!$D:$AGO,251,0)</f>
        <v>0</v>
      </c>
      <c r="J48" s="178">
        <f>VLOOKUP($A$11,'[1]6.2. отчет'!$D:$AGO,262,0)</f>
        <v>0</v>
      </c>
      <c r="K48" s="178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78">
        <f>VLOOKUP($A$11,'[1]6.2. отчет'!$D:$FX,174,0)</f>
        <v>3.12</v>
      </c>
      <c r="D49" s="200">
        <v>0</v>
      </c>
      <c r="E49" s="178">
        <f t="shared" si="6"/>
        <v>3.12</v>
      </c>
      <c r="F49" s="178">
        <v>3.12</v>
      </c>
      <c r="G49" s="178">
        <f>VLOOKUP($A$11,'[1]6.2. отчет'!$D:$GJ,186,0)</f>
        <v>0</v>
      </c>
      <c r="H49" s="178">
        <f>VLOOKUP($A$11,'[1]6.2. отчет'!$D:$AGO,197,0)</f>
        <v>3.12</v>
      </c>
      <c r="I49" s="178">
        <f>VLOOKUP($A$11,'[1]6.2. отчет'!$D:$AGO,252,0)</f>
        <v>0</v>
      </c>
      <c r="J49" s="178">
        <f>VLOOKUP($A$11,'[1]6.2. отчет'!$D:$AGO,263,0)</f>
        <v>0</v>
      </c>
      <c r="K49" s="178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450</v>
      </c>
      <c r="C50" s="178">
        <f>VLOOKUP($A$11,'[1]6.2. отчет'!$D:$FX,175,0)</f>
        <v>0</v>
      </c>
      <c r="D50" s="200">
        <f>VLOOKUP($A$11,'[1]6.2. отчет'!$D:$OZ,412,0)</f>
        <v>0</v>
      </c>
      <c r="E50" s="178">
        <f t="shared" si="6"/>
        <v>0</v>
      </c>
      <c r="F50" s="178">
        <v>0</v>
      </c>
      <c r="G50" s="178">
        <f>VLOOKUP($A$11,'[1]6.2. отчет'!$D:$GJ,187,0)</f>
        <v>0</v>
      </c>
      <c r="H50" s="178">
        <f>VLOOKUP($A$11,'[1]6.2. отчет'!$D:$AGO,198,0)</f>
        <v>0</v>
      </c>
      <c r="I50" s="178">
        <f>VLOOKUP($A$11,'[1]6.2. отчет'!$D:$AGO,253,0)</f>
        <v>0</v>
      </c>
      <c r="J50" s="178">
        <f>VLOOKUP($A$11,'[1]6.2. отчет'!$D:$AGO,264,0)</f>
        <v>0</v>
      </c>
      <c r="K50" s="178">
        <f>VLOOKUP($A$11,'[1]6.2. отчет'!$D:$AGO,319,0)</f>
        <v>0</v>
      </c>
    </row>
    <row r="51" spans="1:11" s="100" customFormat="1" ht="35.25" customHeight="1" x14ac:dyDescent="0.25">
      <c r="A51" s="13" t="s">
        <v>48</v>
      </c>
      <c r="B51" s="12" t="s">
        <v>78</v>
      </c>
      <c r="C51" s="178"/>
      <c r="D51" s="200"/>
      <c r="E51" s="178"/>
      <c r="F51" s="178"/>
      <c r="G51" s="178"/>
      <c r="H51" s="178"/>
      <c r="I51" s="178"/>
      <c r="J51" s="178"/>
      <c r="K51" s="178"/>
    </row>
    <row r="52" spans="1:11" s="36" customFormat="1" ht="26.25" customHeight="1" x14ac:dyDescent="0.25">
      <c r="A52" s="11" t="s">
        <v>77</v>
      </c>
      <c r="B52" s="7" t="s">
        <v>76</v>
      </c>
      <c r="C52" s="178">
        <f>VLOOKUP($A$11,'[1]6.2. отчет'!$D:$FX,167,0)</f>
        <v>54.681218333333334</v>
      </c>
      <c r="D52" s="200">
        <f>VLOOKUP($A$11,'[1]6.2. отчет'!$D:$OZ,413,0)</f>
        <v>0</v>
      </c>
      <c r="E52" s="178">
        <f t="shared" ref="E52:E57" si="7">F52+G52</f>
        <v>54.681218333333334</v>
      </c>
      <c r="F52" s="178">
        <v>54.681218333333334</v>
      </c>
      <c r="G52" s="178">
        <f>VLOOKUP($A$11,'[1]6.2. отчет'!$D:$GJ,179,0)</f>
        <v>0</v>
      </c>
      <c r="H52" s="178">
        <f>VLOOKUP($A$11,'[1]6.2. отчет'!$D:$AGO,190,0)</f>
        <v>54.681218333333334</v>
      </c>
      <c r="I52" s="178">
        <f>VLOOKUP($A$11,'[1]6.2. отчет'!$D:$AGO,245,0)</f>
        <v>0</v>
      </c>
      <c r="J52" s="178">
        <f>VLOOKUP($A$11,'[1]6.2. отчет'!$D:$AGO,256,0)</f>
        <v>0</v>
      </c>
      <c r="K52" s="178">
        <f>VLOOKUP($A$11,'[1]6.2. отчет'!$D:$AGO,311,0)</f>
        <v>0</v>
      </c>
    </row>
    <row r="53" spans="1:11" s="36" customFormat="1" x14ac:dyDescent="0.25">
      <c r="A53" s="11" t="s">
        <v>75</v>
      </c>
      <c r="B53" s="7" t="s">
        <v>69</v>
      </c>
      <c r="C53" s="178">
        <f>VLOOKUP($A$11,'[1]6.2. отчет'!$D:$FX,168,0)</f>
        <v>0</v>
      </c>
      <c r="D53" s="200">
        <v>0</v>
      </c>
      <c r="E53" s="178">
        <f t="shared" si="7"/>
        <v>0</v>
      </c>
      <c r="F53" s="178">
        <v>0</v>
      </c>
      <c r="G53" s="178">
        <f>VLOOKUP($A$11,'[1]6.2. отчет'!$D:$GJ,180,0)</f>
        <v>0</v>
      </c>
      <c r="H53" s="178">
        <f>VLOOKUP($A$11,'[1]6.2. отчет'!$D:$AGO,191,0)</f>
        <v>0</v>
      </c>
      <c r="I53" s="178">
        <f>VLOOKUP($A$11,'[1]6.2. отчет'!$D:$AGO,246,0)</f>
        <v>0</v>
      </c>
      <c r="J53" s="178">
        <f>VLOOKUP($A$11,'[1]6.2. отчет'!$D:$AGO,257,0)</f>
        <v>0</v>
      </c>
      <c r="K53" s="178">
        <f>VLOOKUP($A$11,'[1]6.2. отчет'!$D:$AGO,312,0)</f>
        <v>0</v>
      </c>
    </row>
    <row r="54" spans="1:11" s="36" customFormat="1" x14ac:dyDescent="0.25">
      <c r="A54" s="11" t="s">
        <v>74</v>
      </c>
      <c r="B54" s="59" t="s">
        <v>68</v>
      </c>
      <c r="C54" s="178">
        <f>VLOOKUP($A$11,'[1]6.2. отчет'!$D:$FX,169,0)</f>
        <v>0</v>
      </c>
      <c r="D54" s="200">
        <f>VLOOKUP($A$11,'[1]6.2. отчет'!$D:$OZ,410,0)</f>
        <v>0</v>
      </c>
      <c r="E54" s="178">
        <f t="shared" si="7"/>
        <v>0</v>
      </c>
      <c r="F54" s="178">
        <v>0</v>
      </c>
      <c r="G54" s="178">
        <f>VLOOKUP($A$11,'[1]6.2. отчет'!$D:$GJ,181,0)</f>
        <v>0</v>
      </c>
      <c r="H54" s="178">
        <f>VLOOKUP($A$11,'[1]6.2. отчет'!$D:$AGO,192,0)</f>
        <v>0</v>
      </c>
      <c r="I54" s="178">
        <f>VLOOKUP($A$11,'[1]6.2. отчет'!$D:$AGO,247,0)</f>
        <v>0</v>
      </c>
      <c r="J54" s="178">
        <f>VLOOKUP($A$11,'[1]6.2. отчет'!$D:$AGO,258,0)</f>
        <v>0</v>
      </c>
      <c r="K54" s="178">
        <f>VLOOKUP($A$11,'[1]6.2. отчет'!$D:$AGO,313,0)</f>
        <v>0</v>
      </c>
    </row>
    <row r="55" spans="1:11" s="36" customFormat="1" x14ac:dyDescent="0.25">
      <c r="A55" s="11" t="s">
        <v>73</v>
      </c>
      <c r="B55" s="59" t="s">
        <v>67</v>
      </c>
      <c r="C55" s="178">
        <f>VLOOKUP($A$11,'[1]6.2. отчет'!$D:$FX,170,0)</f>
        <v>0</v>
      </c>
      <c r="D55" s="200">
        <f>VLOOKUP($A$11,'[1]6.2. отчет'!$D:$OZ,411,0)</f>
        <v>0</v>
      </c>
      <c r="E55" s="178">
        <f t="shared" si="7"/>
        <v>0</v>
      </c>
      <c r="F55" s="178">
        <v>0</v>
      </c>
      <c r="G55" s="178">
        <f>VLOOKUP($A$11,'[1]6.2. отчет'!$D:$GJ,182,0)</f>
        <v>0</v>
      </c>
      <c r="H55" s="178">
        <f>VLOOKUP($A$11,'[1]6.2. отчет'!$D:$AGO,193,0)</f>
        <v>0</v>
      </c>
      <c r="I55" s="178">
        <f>VLOOKUP($A$11,'[1]6.2. отчет'!$D:$AGO,248,0)</f>
        <v>0</v>
      </c>
      <c r="J55" s="178">
        <f>VLOOKUP($A$11,'[1]6.2. отчет'!$D:$AGO,259,0)</f>
        <v>0</v>
      </c>
      <c r="K55" s="178">
        <f>VLOOKUP($A$11,'[1]6.2. отчет'!$D:$AGO,314,0)</f>
        <v>0</v>
      </c>
    </row>
    <row r="56" spans="1:11" s="36" customFormat="1" x14ac:dyDescent="0.25">
      <c r="A56" s="11" t="s">
        <v>72</v>
      </c>
      <c r="B56" s="59" t="s">
        <v>66</v>
      </c>
      <c r="C56" s="178">
        <f>VLOOKUP($A$11,'[1]6.2. отчет'!$D:$FX,171,0)</f>
        <v>13.395</v>
      </c>
      <c r="D56" s="200">
        <f>VLOOKUP($A$11,'[1]6.2. отчет'!$D:$OZ,409,0)</f>
        <v>0</v>
      </c>
      <c r="E56" s="178">
        <f t="shared" si="7"/>
        <v>13.395</v>
      </c>
      <c r="F56" s="178">
        <v>13.395</v>
      </c>
      <c r="G56" s="178">
        <f>VLOOKUP($A$11,'[1]6.2. отчет'!$D:$GJ,183,0)</f>
        <v>0</v>
      </c>
      <c r="H56" s="178">
        <f>VLOOKUP($A$11,'[1]6.2. отчет'!$D:$AGO,194,0)</f>
        <v>13.395</v>
      </c>
      <c r="I56" s="178">
        <f>VLOOKUP($A$11,'[1]6.2. отчет'!$D:$AGO,249,0)</f>
        <v>0</v>
      </c>
      <c r="J56" s="178">
        <f>VLOOKUP($A$11,'[1]6.2. отчет'!$D:$AGO,260,0)</f>
        <v>0</v>
      </c>
      <c r="K56" s="178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450</v>
      </c>
      <c r="C57" s="178">
        <f>VLOOKUP($A$11,'[1]6.2. отчет'!$D:$FX,175,0)</f>
        <v>0</v>
      </c>
      <c r="D57" s="200">
        <f>VLOOKUP($A$11,'[1]6.2. отчет'!$D:$OZ,412,0)</f>
        <v>0</v>
      </c>
      <c r="E57" s="178">
        <f t="shared" si="7"/>
        <v>0</v>
      </c>
      <c r="F57" s="178">
        <v>0</v>
      </c>
      <c r="G57" s="178">
        <f>VLOOKUP($A$11,'[1]6.2. отчет'!$D:$GJ,187,0)</f>
        <v>0</v>
      </c>
      <c r="H57" s="178">
        <f>VLOOKUP($A$11,'[1]6.2. отчет'!$D:$AGO,198,0)</f>
        <v>0</v>
      </c>
      <c r="I57" s="178">
        <f>VLOOKUP($A$11,'[1]6.2. отчет'!$D:$AGO,253,0)</f>
        <v>0</v>
      </c>
      <c r="J57" s="178">
        <f>VLOOKUP($A$11,'[1]6.2. отчет'!$D:$AGO,264,0)</f>
        <v>0</v>
      </c>
      <c r="K57" s="178">
        <f>VLOOKUP($A$11,'[1]6.2. отчет'!$D:$AGO,319,0)</f>
        <v>0</v>
      </c>
    </row>
    <row r="58" spans="1:11" s="100" customFormat="1" ht="36.75" customHeight="1" x14ac:dyDescent="0.25">
      <c r="A58" s="13" t="s">
        <v>47</v>
      </c>
      <c r="B58" s="62" t="s">
        <v>165</v>
      </c>
      <c r="C58" s="178"/>
      <c r="D58" s="178"/>
      <c r="E58" s="178"/>
      <c r="F58" s="178"/>
      <c r="G58" s="178"/>
      <c r="H58" s="178"/>
      <c r="I58" s="178"/>
      <c r="J58" s="178"/>
      <c r="K58" s="178"/>
    </row>
    <row r="59" spans="1:11" s="36" customFormat="1" x14ac:dyDescent="0.25">
      <c r="A59" s="13" t="s">
        <v>45</v>
      </c>
      <c r="B59" s="12" t="s">
        <v>70</v>
      </c>
      <c r="C59" s="178"/>
      <c r="D59" s="178"/>
      <c r="E59" s="178"/>
      <c r="F59" s="178"/>
      <c r="G59" s="178"/>
      <c r="H59" s="178"/>
      <c r="I59" s="178"/>
      <c r="J59" s="178"/>
      <c r="K59" s="178"/>
    </row>
    <row r="60" spans="1:11" s="36" customFormat="1" x14ac:dyDescent="0.25">
      <c r="A60" s="11" t="s">
        <v>159</v>
      </c>
      <c r="B60" s="192" t="s">
        <v>90</v>
      </c>
      <c r="C60" s="178">
        <f>VLOOKUP($A$11,'[1]6.2. отчет'!$D:$AGO,326,0)</f>
        <v>0</v>
      </c>
      <c r="D60" s="178">
        <f t="shared" ref="D60:D64" si="8">J60</f>
        <v>0</v>
      </c>
      <c r="E60" s="178">
        <f t="shared" ref="E60:E64" si="9">F60+G60</f>
        <v>0</v>
      </c>
      <c r="F60" s="178">
        <f t="shared" ref="F60:F64" si="10">C60</f>
        <v>0</v>
      </c>
      <c r="G60" s="178">
        <f>VLOOKUP($A$11,'[1]6.2. отчет'!$D:$AGO,333,0)</f>
        <v>0</v>
      </c>
      <c r="H60" s="178">
        <f>VLOOKUP($A$11,'[1]6.2. отчет'!$D:$AGO,341,0)</f>
        <v>0</v>
      </c>
      <c r="I60" s="178">
        <f>VLOOKUP($A$11,'[1]6.2. отчет'!$D:$AGO,366,0)</f>
        <v>0</v>
      </c>
      <c r="J60" s="178">
        <f>VLOOKUP($A$11,'[1]6.2. отчет'!$D:$AGO,371,0)</f>
        <v>0</v>
      </c>
      <c r="K60" s="178">
        <f>VLOOKUP($A$11,'[1]6.2. отчет'!$D:$AGO,396,0)</f>
        <v>0</v>
      </c>
    </row>
    <row r="61" spans="1:11" s="36" customFormat="1" x14ac:dyDescent="0.25">
      <c r="A61" s="11" t="s">
        <v>160</v>
      </c>
      <c r="B61" s="192" t="s">
        <v>88</v>
      </c>
      <c r="C61" s="178">
        <f>VLOOKUP($A$11,'[1]6.2. отчет'!$D:$AGO,327,0)</f>
        <v>0</v>
      </c>
      <c r="D61" s="178">
        <f t="shared" si="8"/>
        <v>0</v>
      </c>
      <c r="E61" s="178">
        <f t="shared" si="9"/>
        <v>0</v>
      </c>
      <c r="F61" s="178">
        <f t="shared" si="10"/>
        <v>0</v>
      </c>
      <c r="G61" s="178">
        <f>VLOOKUP($A$11,'[1]6.2. отчет'!$D:$AGO,334,0)</f>
        <v>0</v>
      </c>
      <c r="H61" s="178">
        <f>VLOOKUP($A$11,'[1]6.2. отчет'!$D:$AGO,338,0)</f>
        <v>0</v>
      </c>
      <c r="I61" s="178">
        <f>VLOOKUP($A$11,'[1]6.2. отчет'!$D:$AGO,363,0)</f>
        <v>0</v>
      </c>
      <c r="J61" s="178">
        <f>VLOOKUP($A$11,'[1]6.2. отчет'!$D:$AGO,368,0)</f>
        <v>0</v>
      </c>
      <c r="K61" s="178">
        <f>VLOOKUP($A$11,'[1]6.2. отчет'!$D:$AGO,393,0)</f>
        <v>0</v>
      </c>
    </row>
    <row r="62" spans="1:11" s="36" customFormat="1" x14ac:dyDescent="0.25">
      <c r="A62" s="11" t="s">
        <v>161</v>
      </c>
      <c r="B62" s="192" t="s">
        <v>86</v>
      </c>
      <c r="C62" s="178">
        <f>VLOOKUP($A$11,'[1]6.2. отчет'!$D:$AGO,328,0)</f>
        <v>0</v>
      </c>
      <c r="D62" s="178">
        <f t="shared" si="8"/>
        <v>0</v>
      </c>
      <c r="E62" s="178">
        <f t="shared" si="9"/>
        <v>0</v>
      </c>
      <c r="F62" s="178">
        <f t="shared" si="10"/>
        <v>0</v>
      </c>
      <c r="G62" s="178">
        <f>VLOOKUP($A$11,'[1]6.2. отчет'!$D:$AGO,335,0)</f>
        <v>0</v>
      </c>
      <c r="H62" s="178">
        <f>VLOOKUP($A$11,'[1]6.2. отчет'!$D:$AGO,339,0)</f>
        <v>0</v>
      </c>
      <c r="I62" s="178">
        <f>VLOOKUP($A$11,'[1]6.2. отчет'!$D:$AGO,364,0)</f>
        <v>0</v>
      </c>
      <c r="J62" s="178">
        <f>VLOOKUP($A$11,'[1]6.2. отчет'!$D:$AGO,369,0)</f>
        <v>0</v>
      </c>
      <c r="K62" s="178">
        <f>VLOOKUP($A$11,'[1]6.2. отчет'!$D:$AGO,394,0)</f>
        <v>0</v>
      </c>
    </row>
    <row r="63" spans="1:11" s="36" customFormat="1" x14ac:dyDescent="0.25">
      <c r="A63" s="11" t="s">
        <v>162</v>
      </c>
      <c r="B63" s="192" t="s">
        <v>164</v>
      </c>
      <c r="C63" s="178">
        <f>VLOOKUP($A$11,'[1]6.2. отчет'!$D:$AGO,329,0)</f>
        <v>0</v>
      </c>
      <c r="D63" s="178">
        <f t="shared" si="8"/>
        <v>0</v>
      </c>
      <c r="E63" s="178">
        <f t="shared" si="9"/>
        <v>0</v>
      </c>
      <c r="F63" s="178">
        <f t="shared" si="10"/>
        <v>0</v>
      </c>
      <c r="G63" s="178">
        <f>VLOOKUP($A$11,'[1]6.2. отчет'!$D:$AGO,336,0)</f>
        <v>0</v>
      </c>
      <c r="H63" s="178">
        <f>VLOOKUP($A$11,'[1]6.2. отчет'!$D:$AGO,340,0)</f>
        <v>0</v>
      </c>
      <c r="I63" s="178">
        <f>VLOOKUP($A$11,'[1]6.2. отчет'!$D:$AGO,365,0)</f>
        <v>0</v>
      </c>
      <c r="J63" s="178">
        <f>VLOOKUP($A$11,'[1]6.2. отчет'!$D:$AGO,370,0)</f>
        <v>0</v>
      </c>
      <c r="K63" s="178">
        <f>VLOOKUP($A$11,'[1]6.2. отчет'!$D:$AGO,395,0)</f>
        <v>0</v>
      </c>
    </row>
    <row r="64" spans="1:11" s="36" customFormat="1" ht="18.75" x14ac:dyDescent="0.25">
      <c r="A64" s="11" t="s">
        <v>163</v>
      </c>
      <c r="B64" s="59" t="s">
        <v>65</v>
      </c>
      <c r="C64" s="178">
        <f>VLOOKUP($A$11,'[1]6.2. отчет'!$D:$AGO,330,0)</f>
        <v>0</v>
      </c>
      <c r="D64" s="178">
        <f t="shared" si="8"/>
        <v>0</v>
      </c>
      <c r="E64" s="178">
        <f t="shared" si="9"/>
        <v>0</v>
      </c>
      <c r="F64" s="178">
        <f t="shared" si="10"/>
        <v>0</v>
      </c>
      <c r="G64" s="178">
        <f>VLOOKUP($A$11,'[1]6.2. отчет'!$D:$AGO,337,0)</f>
        <v>0</v>
      </c>
      <c r="H64" s="178">
        <f>VLOOKUP($A$11,'[1]6.2. отчет'!$D:$AGO,342,0)</f>
        <v>0</v>
      </c>
      <c r="I64" s="178">
        <f>VLOOKUP($A$11,'[1]6.2. отчет'!$D:$AGO,367,0)</f>
        <v>0</v>
      </c>
      <c r="J64" s="178">
        <f>VLOOKUP($A$11,'[1]6.2. отчет'!$D:$AGO,372,0)</f>
        <v>0</v>
      </c>
      <c r="K64" s="178">
        <f>VLOOKUP($A$11,'[1]6.2. отчет'!$D:$AGO,396,0)</f>
        <v>0</v>
      </c>
    </row>
    <row r="66" spans="2:11" ht="50.25" customHeight="1" x14ac:dyDescent="0.25">
      <c r="B66" s="285"/>
      <c r="C66" s="285"/>
      <c r="D66" s="285"/>
      <c r="E66" s="285"/>
      <c r="F66" s="285"/>
      <c r="G66" s="285"/>
      <c r="H66" s="285"/>
      <c r="I66" s="285"/>
      <c r="J66" s="285"/>
      <c r="K66" s="285"/>
    </row>
    <row r="68" spans="2:11" ht="36.75" customHeight="1" x14ac:dyDescent="0.25">
      <c r="B68" s="286"/>
      <c r="C68" s="286"/>
      <c r="D68" s="286"/>
      <c r="E68" s="286"/>
      <c r="F68" s="286"/>
      <c r="G68" s="286"/>
      <c r="H68" s="286"/>
      <c r="I68" s="286"/>
      <c r="J68" s="286"/>
      <c r="K68" s="286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86"/>
      <c r="C70" s="286"/>
      <c r="D70" s="286"/>
      <c r="E70" s="286"/>
      <c r="F70" s="286"/>
      <c r="G70" s="286"/>
      <c r="H70" s="286"/>
      <c r="I70" s="286"/>
      <c r="J70" s="286"/>
      <c r="K70" s="286"/>
    </row>
    <row r="71" spans="2:11" ht="32.25" customHeight="1" x14ac:dyDescent="0.25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spans="2:11" ht="51.75" customHeight="1" x14ac:dyDescent="0.25">
      <c r="B72" s="286"/>
      <c r="C72" s="286"/>
      <c r="D72" s="286"/>
      <c r="E72" s="286"/>
      <c r="F72" s="286"/>
      <c r="G72" s="286"/>
      <c r="H72" s="286"/>
      <c r="I72" s="286"/>
      <c r="J72" s="286"/>
      <c r="K72" s="286"/>
    </row>
    <row r="73" spans="2:11" ht="21.75" customHeight="1" x14ac:dyDescent="0.25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84"/>
      <c r="C75" s="284"/>
      <c r="D75" s="284"/>
      <c r="E75" s="284"/>
      <c r="F75" s="284"/>
      <c r="G75" s="284"/>
      <c r="H75" s="284"/>
      <c r="I75" s="284"/>
      <c r="J75" s="284"/>
      <c r="K75" s="284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view="pageBreakPreview" topLeftCell="R1" zoomScale="70" zoomScaleNormal="100" zoomScaleSheetLayoutView="70" workbookViewId="0">
      <selection activeCell="R31" sqref="R31"/>
    </sheetView>
  </sheetViews>
  <sheetFormatPr defaultColWidth="9.140625" defaultRowHeight="15" x14ac:dyDescent="0.25"/>
  <cols>
    <col min="1" max="1" width="6.140625" style="92" customWidth="1"/>
    <col min="2" max="2" width="23.140625" style="92" customWidth="1"/>
    <col min="3" max="3" width="18.28515625" style="92" bestFit="1" customWidth="1"/>
    <col min="4" max="4" width="15.140625" style="92" customWidth="1"/>
    <col min="5" max="12" width="7.7109375" style="92" customWidth="1"/>
    <col min="13" max="13" width="14.5703125" style="92" customWidth="1"/>
    <col min="14" max="15" width="10.7109375" style="92" customWidth="1"/>
    <col min="16" max="17" width="13.42578125" style="92" customWidth="1"/>
    <col min="18" max="18" width="17" style="92" customWidth="1"/>
    <col min="19" max="20" width="9.7109375" style="92" customWidth="1"/>
    <col min="21" max="21" width="11.42578125" style="92" customWidth="1"/>
    <col min="22" max="22" width="12.7109375" style="92" customWidth="1"/>
    <col min="23" max="23" width="19" style="92" customWidth="1"/>
    <col min="24" max="25" width="10.7109375" style="92" customWidth="1"/>
    <col min="26" max="26" width="7.7109375" style="92" customWidth="1"/>
    <col min="27" max="28" width="10.7109375" style="92" customWidth="1"/>
    <col min="29" max="29" width="15" style="92" customWidth="1"/>
    <col min="30" max="30" width="10.7109375" style="92" customWidth="1"/>
    <col min="31" max="31" width="15.85546875" style="92" customWidth="1"/>
    <col min="32" max="32" width="22.5703125" style="92" customWidth="1"/>
    <col min="33" max="36" width="11.5703125" style="92" customWidth="1"/>
    <col min="37" max="41" width="13.85546875" style="92" customWidth="1"/>
    <col min="42" max="42" width="13.42578125" style="92" customWidth="1"/>
    <col min="43" max="43" width="14" style="92" customWidth="1"/>
    <col min="44" max="44" width="14.140625" style="92" customWidth="1"/>
    <col min="45" max="46" width="13.28515625" style="92" customWidth="1"/>
    <col min="47" max="47" width="10.7109375" style="92" customWidth="1"/>
    <col min="48" max="48" width="37.85546875" style="92" customWidth="1"/>
    <col min="49" max="16384" width="9.140625" style="92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05" t="str">
        <f>'1. паспорт местоположение'!$A$5</f>
        <v>Год раскрытия информации: 2024 год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</row>
    <row r="6" spans="1:48" ht="18.75" x14ac:dyDescent="0.3">
      <c r="AV6" s="27"/>
    </row>
    <row r="7" spans="1:48" ht="18.75" x14ac:dyDescent="0.25">
      <c r="A7" s="209" t="s">
        <v>5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9"/>
      <c r="AL7" s="209"/>
      <c r="AM7" s="209"/>
      <c r="AN7" s="209"/>
      <c r="AO7" s="209"/>
      <c r="AP7" s="209"/>
      <c r="AQ7" s="209"/>
      <c r="AR7" s="209"/>
      <c r="AS7" s="209"/>
      <c r="AT7" s="209"/>
      <c r="AU7" s="209"/>
      <c r="AV7" s="209"/>
    </row>
    <row r="8" spans="1:48" ht="18.75" x14ac:dyDescent="0.25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9"/>
      <c r="AL8" s="209"/>
      <c r="AM8" s="209"/>
      <c r="AN8" s="209"/>
      <c r="AO8" s="209"/>
      <c r="AP8" s="209"/>
      <c r="AQ8" s="209"/>
      <c r="AR8" s="209"/>
      <c r="AS8" s="209"/>
      <c r="AT8" s="209"/>
      <c r="AU8" s="209"/>
      <c r="AV8" s="209"/>
    </row>
    <row r="9" spans="1:48" ht="15.75" x14ac:dyDescent="0.25">
      <c r="A9" s="210" t="s">
        <v>287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</row>
    <row r="10" spans="1:48" ht="15.75" x14ac:dyDescent="0.25">
      <c r="A10" s="211" t="s">
        <v>4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</row>
    <row r="11" spans="1:48" ht="18.75" x14ac:dyDescent="0.25">
      <c r="A11" s="209"/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</row>
    <row r="12" spans="1:48" ht="15.75" x14ac:dyDescent="0.25">
      <c r="A12" s="210" t="str">
        <f>'1. паспорт местоположение'!A12:C12</f>
        <v>M_Che426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</row>
    <row r="13" spans="1:48" ht="15.75" x14ac:dyDescent="0.25">
      <c r="A13" s="211" t="s">
        <v>3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</row>
    <row r="14" spans="1:48" ht="18.7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</row>
    <row r="15" spans="1:48" ht="15.75" x14ac:dyDescent="0.25">
      <c r="A15" s="210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</row>
    <row r="16" spans="1:48" ht="15.75" x14ac:dyDescent="0.25">
      <c r="A16" s="211" t="s">
        <v>2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</row>
    <row r="17" spans="1:48" x14ac:dyDescent="0.25">
      <c r="A17" s="299"/>
      <c r="B17" s="299"/>
      <c r="C17" s="299"/>
      <c r="D17" s="299"/>
      <c r="E17" s="299"/>
      <c r="F17" s="299"/>
      <c r="G17" s="299"/>
      <c r="H17" s="299"/>
      <c r="I17" s="299"/>
      <c r="J17" s="299"/>
      <c r="K17" s="299"/>
      <c r="L17" s="299"/>
      <c r="M17" s="299"/>
      <c r="N17" s="299"/>
      <c r="O17" s="299"/>
      <c r="P17" s="299"/>
      <c r="Q17" s="299"/>
      <c r="R17" s="299"/>
      <c r="S17" s="299"/>
      <c r="T17" s="299"/>
      <c r="U17" s="299"/>
      <c r="V17" s="299"/>
      <c r="W17" s="299"/>
      <c r="X17" s="299"/>
      <c r="Y17" s="299"/>
      <c r="Z17" s="299"/>
      <c r="AA17" s="299"/>
      <c r="AB17" s="299"/>
      <c r="AC17" s="299"/>
      <c r="AD17" s="299"/>
      <c r="AE17" s="299"/>
      <c r="AF17" s="299"/>
      <c r="AG17" s="299"/>
      <c r="AH17" s="299"/>
      <c r="AI17" s="299"/>
      <c r="AJ17" s="299"/>
      <c r="AK17" s="299"/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</row>
    <row r="18" spans="1:48" ht="14.25" customHeight="1" x14ac:dyDescent="0.25">
      <c r="A18" s="299"/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  <c r="AA18" s="299"/>
      <c r="AB18" s="299"/>
      <c r="AC18" s="299"/>
      <c r="AD18" s="299"/>
      <c r="AE18" s="299"/>
      <c r="AF18" s="299"/>
      <c r="AG18" s="299"/>
      <c r="AH18" s="299"/>
      <c r="AI18" s="299"/>
      <c r="AJ18" s="299"/>
      <c r="AK18" s="299"/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</row>
    <row r="19" spans="1:48" x14ac:dyDescent="0.25">
      <c r="A19" s="299"/>
      <c r="B19" s="299"/>
      <c r="C19" s="299"/>
      <c r="D19" s="299"/>
      <c r="E19" s="299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299"/>
      <c r="X19" s="299"/>
      <c r="Y19" s="299"/>
      <c r="Z19" s="299"/>
      <c r="AA19" s="299"/>
      <c r="AB19" s="299"/>
      <c r="AC19" s="299"/>
      <c r="AD19" s="299"/>
      <c r="AE19" s="299"/>
      <c r="AF19" s="299"/>
      <c r="AG19" s="299"/>
      <c r="AH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</row>
    <row r="20" spans="1:48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9"/>
      <c r="S20" s="299"/>
      <c r="T20" s="299"/>
      <c r="U20" s="299"/>
      <c r="V20" s="299"/>
      <c r="W20" s="299"/>
      <c r="X20" s="299"/>
      <c r="Y20" s="299"/>
      <c r="Z20" s="299"/>
      <c r="AA20" s="299"/>
      <c r="AB20" s="299"/>
      <c r="AC20" s="299"/>
      <c r="AD20" s="299"/>
      <c r="AE20" s="299"/>
      <c r="AF20" s="299"/>
      <c r="AG20" s="299"/>
      <c r="AH20" s="299"/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</row>
    <row r="21" spans="1:48" x14ac:dyDescent="0.25">
      <c r="A21" s="303" t="s">
        <v>277</v>
      </c>
      <c r="B21" s="303"/>
      <c r="C21" s="303"/>
      <c r="D21" s="303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  <c r="AA21" s="303"/>
      <c r="AB21" s="303"/>
      <c r="AC21" s="303"/>
      <c r="AD21" s="303"/>
      <c r="AE21" s="303"/>
      <c r="AF21" s="303"/>
      <c r="AG21" s="303"/>
      <c r="AH21" s="303"/>
      <c r="AI21" s="303"/>
      <c r="AJ21" s="303"/>
      <c r="AK21" s="303"/>
      <c r="AL21" s="303"/>
      <c r="AM21" s="303"/>
      <c r="AN21" s="303"/>
      <c r="AO21" s="303"/>
      <c r="AP21" s="303"/>
      <c r="AQ21" s="303"/>
      <c r="AR21" s="303"/>
      <c r="AS21" s="303"/>
      <c r="AT21" s="303"/>
      <c r="AU21" s="303"/>
      <c r="AV21" s="303"/>
    </row>
    <row r="22" spans="1:48" s="93" customFormat="1" ht="58.5" customHeight="1" x14ac:dyDescent="0.25">
      <c r="A22" s="304" t="s">
        <v>41</v>
      </c>
      <c r="B22" s="307" t="s">
        <v>14</v>
      </c>
      <c r="C22" s="304" t="s">
        <v>40</v>
      </c>
      <c r="D22" s="304" t="s">
        <v>39</v>
      </c>
      <c r="E22" s="310" t="s">
        <v>283</v>
      </c>
      <c r="F22" s="311"/>
      <c r="G22" s="311"/>
      <c r="H22" s="311"/>
      <c r="I22" s="311"/>
      <c r="J22" s="311"/>
      <c r="K22" s="311"/>
      <c r="L22" s="312"/>
      <c r="M22" s="304" t="s">
        <v>38</v>
      </c>
      <c r="N22" s="304" t="s">
        <v>37</v>
      </c>
      <c r="O22" s="304" t="s">
        <v>36</v>
      </c>
      <c r="P22" s="300" t="s">
        <v>168</v>
      </c>
      <c r="Q22" s="300" t="s">
        <v>35</v>
      </c>
      <c r="R22" s="300" t="s">
        <v>34</v>
      </c>
      <c r="S22" s="300" t="s">
        <v>33</v>
      </c>
      <c r="T22" s="300"/>
      <c r="U22" s="313" t="s">
        <v>32</v>
      </c>
      <c r="V22" s="313" t="s">
        <v>31</v>
      </c>
      <c r="W22" s="300" t="s">
        <v>30</v>
      </c>
      <c r="X22" s="300" t="s">
        <v>29</v>
      </c>
      <c r="Y22" s="300" t="s">
        <v>28</v>
      </c>
      <c r="Z22" s="314" t="s">
        <v>27</v>
      </c>
      <c r="AA22" s="300" t="s">
        <v>26</v>
      </c>
      <c r="AB22" s="300" t="s">
        <v>25</v>
      </c>
      <c r="AC22" s="300" t="s">
        <v>24</v>
      </c>
      <c r="AD22" s="300" t="s">
        <v>23</v>
      </c>
      <c r="AE22" s="300" t="s">
        <v>22</v>
      </c>
      <c r="AF22" s="300" t="s">
        <v>21</v>
      </c>
      <c r="AG22" s="300"/>
      <c r="AH22" s="300"/>
      <c r="AI22" s="300"/>
      <c r="AJ22" s="300"/>
      <c r="AK22" s="300"/>
      <c r="AL22" s="315" t="s">
        <v>459</v>
      </c>
      <c r="AM22" s="315"/>
      <c r="AN22" s="315"/>
      <c r="AO22" s="315"/>
      <c r="AP22" s="300" t="s">
        <v>20</v>
      </c>
      <c r="AQ22" s="300"/>
      <c r="AR22" s="300" t="s">
        <v>19</v>
      </c>
      <c r="AS22" s="300" t="s">
        <v>18</v>
      </c>
      <c r="AT22" s="300" t="s">
        <v>17</v>
      </c>
      <c r="AU22" s="300" t="s">
        <v>16</v>
      </c>
      <c r="AV22" s="300" t="s">
        <v>15</v>
      </c>
    </row>
    <row r="23" spans="1:48" s="93" customFormat="1" ht="64.5" customHeight="1" x14ac:dyDescent="0.25">
      <c r="A23" s="305"/>
      <c r="B23" s="308"/>
      <c r="C23" s="305"/>
      <c r="D23" s="305"/>
      <c r="E23" s="301" t="s">
        <v>13</v>
      </c>
      <c r="F23" s="320" t="s">
        <v>69</v>
      </c>
      <c r="G23" s="320" t="s">
        <v>68</v>
      </c>
      <c r="H23" s="320" t="s">
        <v>67</v>
      </c>
      <c r="I23" s="322" t="s">
        <v>222</v>
      </c>
      <c r="J23" s="322" t="s">
        <v>223</v>
      </c>
      <c r="K23" s="322" t="s">
        <v>224</v>
      </c>
      <c r="L23" s="320" t="s">
        <v>64</v>
      </c>
      <c r="M23" s="305"/>
      <c r="N23" s="305"/>
      <c r="O23" s="305"/>
      <c r="P23" s="300"/>
      <c r="Q23" s="300"/>
      <c r="R23" s="300"/>
      <c r="S23" s="304" t="s">
        <v>0</v>
      </c>
      <c r="T23" s="304" t="s">
        <v>7</v>
      </c>
      <c r="U23" s="313"/>
      <c r="V23" s="313"/>
      <c r="W23" s="300"/>
      <c r="X23" s="300"/>
      <c r="Y23" s="300"/>
      <c r="Z23" s="300"/>
      <c r="AA23" s="300"/>
      <c r="AB23" s="300"/>
      <c r="AC23" s="300"/>
      <c r="AD23" s="300"/>
      <c r="AE23" s="300"/>
      <c r="AF23" s="300" t="s">
        <v>12</v>
      </c>
      <c r="AG23" s="300"/>
      <c r="AH23" s="315" t="s">
        <v>460</v>
      </c>
      <c r="AI23" s="315"/>
      <c r="AJ23" s="318" t="s">
        <v>461</v>
      </c>
      <c r="AK23" s="304" t="s">
        <v>11</v>
      </c>
      <c r="AL23" s="318" t="s">
        <v>462</v>
      </c>
      <c r="AM23" s="318" t="s">
        <v>463</v>
      </c>
      <c r="AN23" s="318" t="s">
        <v>464</v>
      </c>
      <c r="AO23" s="318" t="s">
        <v>465</v>
      </c>
      <c r="AP23" s="304" t="s">
        <v>10</v>
      </c>
      <c r="AQ23" s="316" t="s">
        <v>7</v>
      </c>
      <c r="AR23" s="300"/>
      <c r="AS23" s="300"/>
      <c r="AT23" s="300"/>
      <c r="AU23" s="300"/>
      <c r="AV23" s="300"/>
    </row>
    <row r="24" spans="1:48" s="93" customFormat="1" ht="96.75" customHeight="1" x14ac:dyDescent="0.25">
      <c r="A24" s="306"/>
      <c r="B24" s="309"/>
      <c r="C24" s="306"/>
      <c r="D24" s="306"/>
      <c r="E24" s="302"/>
      <c r="F24" s="321"/>
      <c r="G24" s="321"/>
      <c r="H24" s="321"/>
      <c r="I24" s="323"/>
      <c r="J24" s="323"/>
      <c r="K24" s="323"/>
      <c r="L24" s="321"/>
      <c r="M24" s="306"/>
      <c r="N24" s="306"/>
      <c r="O24" s="306"/>
      <c r="P24" s="300"/>
      <c r="Q24" s="300"/>
      <c r="R24" s="300"/>
      <c r="S24" s="306"/>
      <c r="T24" s="306"/>
      <c r="U24" s="313"/>
      <c r="V24" s="313"/>
      <c r="W24" s="300"/>
      <c r="X24" s="300"/>
      <c r="Y24" s="300"/>
      <c r="Z24" s="300"/>
      <c r="AA24" s="300"/>
      <c r="AB24" s="300"/>
      <c r="AC24" s="300"/>
      <c r="AD24" s="300"/>
      <c r="AE24" s="300"/>
      <c r="AF24" s="94" t="s">
        <v>9</v>
      </c>
      <c r="AG24" s="94" t="s">
        <v>8</v>
      </c>
      <c r="AH24" s="173" t="s">
        <v>0</v>
      </c>
      <c r="AI24" s="173" t="s">
        <v>7</v>
      </c>
      <c r="AJ24" s="319"/>
      <c r="AK24" s="306"/>
      <c r="AL24" s="319"/>
      <c r="AM24" s="319"/>
      <c r="AN24" s="319"/>
      <c r="AO24" s="319"/>
      <c r="AP24" s="306"/>
      <c r="AQ24" s="317"/>
      <c r="AR24" s="300"/>
      <c r="AS24" s="300"/>
      <c r="AT24" s="300"/>
      <c r="AU24" s="300"/>
      <c r="AV24" s="300"/>
    </row>
    <row r="25" spans="1:48" s="93" customFormat="1" x14ac:dyDescent="0.25">
      <c r="A25" s="95">
        <v>1</v>
      </c>
      <c r="B25" s="95">
        <v>2</v>
      </c>
      <c r="C25" s="95">
        <v>4</v>
      </c>
      <c r="D25" s="95">
        <v>5</v>
      </c>
      <c r="E25" s="95">
        <v>6</v>
      </c>
      <c r="F25" s="95">
        <f t="shared" ref="F25:AE25" si="0">E25+1</f>
        <v>7</v>
      </c>
      <c r="G25" s="95">
        <f t="shared" si="0"/>
        <v>8</v>
      </c>
      <c r="H25" s="95">
        <f t="shared" si="0"/>
        <v>9</v>
      </c>
      <c r="I25" s="95">
        <f t="shared" si="0"/>
        <v>10</v>
      </c>
      <c r="J25" s="95">
        <f t="shared" si="0"/>
        <v>11</v>
      </c>
      <c r="K25" s="95">
        <f t="shared" si="0"/>
        <v>12</v>
      </c>
      <c r="L25" s="95">
        <f t="shared" si="0"/>
        <v>13</v>
      </c>
      <c r="M25" s="95">
        <f t="shared" si="0"/>
        <v>14</v>
      </c>
      <c r="N25" s="95">
        <f t="shared" si="0"/>
        <v>15</v>
      </c>
      <c r="O25" s="95">
        <f t="shared" si="0"/>
        <v>16</v>
      </c>
      <c r="P25" s="95">
        <f t="shared" si="0"/>
        <v>17</v>
      </c>
      <c r="Q25" s="95">
        <f t="shared" si="0"/>
        <v>18</v>
      </c>
      <c r="R25" s="95">
        <f t="shared" si="0"/>
        <v>19</v>
      </c>
      <c r="S25" s="95">
        <f t="shared" si="0"/>
        <v>20</v>
      </c>
      <c r="T25" s="95">
        <f t="shared" si="0"/>
        <v>21</v>
      </c>
      <c r="U25" s="95">
        <f t="shared" si="0"/>
        <v>22</v>
      </c>
      <c r="V25" s="95">
        <f t="shared" si="0"/>
        <v>23</v>
      </c>
      <c r="W25" s="95">
        <f t="shared" si="0"/>
        <v>24</v>
      </c>
      <c r="X25" s="95">
        <f t="shared" si="0"/>
        <v>25</v>
      </c>
      <c r="Y25" s="95">
        <f t="shared" si="0"/>
        <v>26</v>
      </c>
      <c r="Z25" s="95">
        <f t="shared" si="0"/>
        <v>27</v>
      </c>
      <c r="AA25" s="95">
        <f t="shared" si="0"/>
        <v>28</v>
      </c>
      <c r="AB25" s="95">
        <f t="shared" si="0"/>
        <v>29</v>
      </c>
      <c r="AC25" s="95">
        <f t="shared" si="0"/>
        <v>30</v>
      </c>
      <c r="AD25" s="95">
        <f t="shared" si="0"/>
        <v>31</v>
      </c>
      <c r="AE25" s="95">
        <f t="shared" si="0"/>
        <v>32</v>
      </c>
      <c r="AF25" s="95">
        <f t="shared" ref="AF25" si="1">AE25+1</f>
        <v>33</v>
      </c>
      <c r="AG25" s="95">
        <f t="shared" ref="AG25" si="2">AF25+1</f>
        <v>34</v>
      </c>
      <c r="AH25" s="95">
        <f t="shared" ref="AH25" si="3">AG25+1</f>
        <v>35</v>
      </c>
      <c r="AI25" s="95">
        <f t="shared" ref="AI25" si="4">AH25+1</f>
        <v>36</v>
      </c>
      <c r="AJ25" s="95">
        <f t="shared" ref="AJ25" si="5">AI25+1</f>
        <v>37</v>
      </c>
      <c r="AK25" s="95">
        <f t="shared" ref="AK25" si="6">AJ25+1</f>
        <v>38</v>
      </c>
      <c r="AL25" s="95">
        <f t="shared" ref="AL25" si="7">AK25+1</f>
        <v>39</v>
      </c>
      <c r="AM25" s="95">
        <f t="shared" ref="AM25" si="8">AL25+1</f>
        <v>40</v>
      </c>
      <c r="AN25" s="95">
        <f t="shared" ref="AN25" si="9">AM25+1</f>
        <v>41</v>
      </c>
      <c r="AO25" s="95">
        <f t="shared" ref="AO25" si="10">AN25+1</f>
        <v>42</v>
      </c>
      <c r="AP25" s="95">
        <f t="shared" ref="AP25" si="11">AO25+1</f>
        <v>43</v>
      </c>
      <c r="AQ25" s="95">
        <f t="shared" ref="AQ25" si="12">AP25+1</f>
        <v>44</v>
      </c>
      <c r="AR25" s="95">
        <f t="shared" ref="AR25" si="13">AQ25+1</f>
        <v>45</v>
      </c>
      <c r="AS25" s="95">
        <f t="shared" ref="AS25" si="14">AR25+1</f>
        <v>46</v>
      </c>
      <c r="AT25" s="95">
        <f t="shared" ref="AT25" si="15">AS25+1</f>
        <v>47</v>
      </c>
      <c r="AU25" s="95">
        <f t="shared" ref="AU25" si="16">AT25+1</f>
        <v>48</v>
      </c>
      <c r="AV25" s="95">
        <f t="shared" ref="AV25" si="17">AU25+1</f>
        <v>49</v>
      </c>
    </row>
    <row r="26" spans="1:48" ht="60" x14ac:dyDescent="0.25">
      <c r="A26" s="97">
        <v>1</v>
      </c>
      <c r="B26" s="297" t="s">
        <v>287</v>
      </c>
      <c r="C26" s="297" t="s">
        <v>477</v>
      </c>
      <c r="D26" s="297" t="s">
        <v>516</v>
      </c>
      <c r="E26" s="288">
        <v>0</v>
      </c>
      <c r="F26" s="288">
        <v>0</v>
      </c>
      <c r="G26" s="288">
        <v>0</v>
      </c>
      <c r="H26" s="288">
        <v>0</v>
      </c>
      <c r="I26" s="295">
        <v>10.275</v>
      </c>
      <c r="J26" s="288">
        <v>0</v>
      </c>
      <c r="K26" s="295">
        <v>3.12</v>
      </c>
      <c r="L26" s="288">
        <v>0</v>
      </c>
      <c r="M26" s="97" t="s">
        <v>469</v>
      </c>
      <c r="N26" s="95" t="s">
        <v>469</v>
      </c>
      <c r="O26" s="290" t="s">
        <v>470</v>
      </c>
      <c r="P26" s="98">
        <v>10288.518</v>
      </c>
      <c r="Q26" s="97" t="s">
        <v>453</v>
      </c>
      <c r="R26" s="98">
        <v>10288.518</v>
      </c>
      <c r="S26" s="97" t="s">
        <v>454</v>
      </c>
      <c r="T26" s="97" t="s">
        <v>454</v>
      </c>
      <c r="U26" s="97">
        <v>2</v>
      </c>
      <c r="V26" s="97">
        <v>2</v>
      </c>
      <c r="W26" s="95" t="s">
        <v>471</v>
      </c>
      <c r="X26" s="96" t="s">
        <v>472</v>
      </c>
      <c r="Y26" s="181" t="s">
        <v>290</v>
      </c>
      <c r="Z26" s="146" t="s">
        <v>473</v>
      </c>
      <c r="AA26" s="146" t="s">
        <v>473</v>
      </c>
      <c r="AB26" s="98">
        <v>10126.11</v>
      </c>
      <c r="AC26" s="95" t="s">
        <v>474</v>
      </c>
      <c r="AD26" s="191">
        <v>12151.334999999999</v>
      </c>
      <c r="AE26" s="191"/>
      <c r="AF26" s="95">
        <v>32110356559</v>
      </c>
      <c r="AG26" s="182" t="s">
        <v>475</v>
      </c>
      <c r="AH26" s="99">
        <v>44351</v>
      </c>
      <c r="AI26" s="99">
        <v>44351</v>
      </c>
      <c r="AJ26" s="99">
        <v>44363</v>
      </c>
      <c r="AK26" s="99">
        <v>44393</v>
      </c>
      <c r="AL26" s="292" t="s">
        <v>466</v>
      </c>
      <c r="AM26" s="293"/>
      <c r="AN26" s="293"/>
      <c r="AO26" s="294"/>
      <c r="AP26" s="99">
        <v>44407</v>
      </c>
      <c r="AQ26" s="99">
        <v>44407</v>
      </c>
      <c r="AR26" s="99">
        <v>44407</v>
      </c>
      <c r="AS26" s="99">
        <v>44407</v>
      </c>
      <c r="AT26" s="99">
        <v>44561</v>
      </c>
      <c r="AU26" s="195"/>
      <c r="AV26" s="196" t="s">
        <v>502</v>
      </c>
    </row>
    <row r="27" spans="1:48" ht="60" x14ac:dyDescent="0.25">
      <c r="A27" s="97">
        <v>2</v>
      </c>
      <c r="B27" s="298"/>
      <c r="C27" s="298"/>
      <c r="D27" s="298"/>
      <c r="E27" s="289"/>
      <c r="F27" s="289"/>
      <c r="G27" s="289"/>
      <c r="H27" s="289"/>
      <c r="I27" s="296"/>
      <c r="J27" s="289"/>
      <c r="K27" s="296"/>
      <c r="L27" s="289"/>
      <c r="M27" s="97" t="s">
        <v>503</v>
      </c>
      <c r="N27" s="97" t="s">
        <v>503</v>
      </c>
      <c r="O27" s="291"/>
      <c r="P27" s="98">
        <f>316201.891/1.2</f>
        <v>263501.57583333337</v>
      </c>
      <c r="Q27" s="97" t="s">
        <v>504</v>
      </c>
      <c r="R27" s="98">
        <f>P27</f>
        <v>263501.57583333337</v>
      </c>
      <c r="S27" s="97" t="s">
        <v>505</v>
      </c>
      <c r="T27" s="97" t="s">
        <v>505</v>
      </c>
      <c r="U27" s="97">
        <v>1</v>
      </c>
      <c r="V27" s="97">
        <v>1</v>
      </c>
      <c r="W27" s="95" t="s">
        <v>506</v>
      </c>
      <c r="X27" s="96">
        <v>263501.57583333337</v>
      </c>
      <c r="Y27" s="181" t="s">
        <v>290</v>
      </c>
      <c r="Z27" s="146">
        <v>1</v>
      </c>
      <c r="AA27" s="96">
        <v>263501.57583333337</v>
      </c>
      <c r="AB27" s="98">
        <f>AA27</f>
        <v>263501.57583333337</v>
      </c>
      <c r="AC27" s="95" t="s">
        <v>506</v>
      </c>
      <c r="AD27" s="191">
        <f>AB27*1.2</f>
        <v>316201.891</v>
      </c>
      <c r="AE27" s="191"/>
      <c r="AF27" s="95">
        <v>32211786301</v>
      </c>
      <c r="AG27" s="182" t="s">
        <v>475</v>
      </c>
      <c r="AH27" s="99">
        <v>44858</v>
      </c>
      <c r="AI27" s="99">
        <v>44858</v>
      </c>
      <c r="AJ27" s="99">
        <v>44887</v>
      </c>
      <c r="AK27" s="99">
        <v>44890</v>
      </c>
      <c r="AL27" s="292" t="s">
        <v>466</v>
      </c>
      <c r="AM27" s="293"/>
      <c r="AN27" s="293"/>
      <c r="AO27" s="294"/>
      <c r="AP27" s="99">
        <v>44907</v>
      </c>
      <c r="AQ27" s="99">
        <v>44907</v>
      </c>
      <c r="AR27" s="99">
        <v>44907</v>
      </c>
      <c r="AS27" s="99">
        <v>44907</v>
      </c>
      <c r="AT27" s="99">
        <v>45290</v>
      </c>
      <c r="AU27" s="195"/>
      <c r="AV27" s="196" t="s">
        <v>507</v>
      </c>
    </row>
    <row r="29" spans="1:48" x14ac:dyDescent="0.25">
      <c r="I29" s="199"/>
    </row>
  </sheetData>
  <mergeCells count="81">
    <mergeCell ref="L23:L24"/>
    <mergeCell ref="S23:S24"/>
    <mergeCell ref="AF22:AK22"/>
    <mergeCell ref="AK23:AK24"/>
    <mergeCell ref="AH23:AI23"/>
    <mergeCell ref="AJ23:AJ24"/>
    <mergeCell ref="M22:M24"/>
    <mergeCell ref="N22:N24"/>
    <mergeCell ref="F23:F24"/>
    <mergeCell ref="G23:G24"/>
    <mergeCell ref="H23:H24"/>
    <mergeCell ref="K23:K24"/>
    <mergeCell ref="I23:I24"/>
    <mergeCell ref="J23:J24"/>
    <mergeCell ref="AP23:AP24"/>
    <mergeCell ref="AP22:AQ22"/>
    <mergeCell ref="X22:X24"/>
    <mergeCell ref="AL22:AO22"/>
    <mergeCell ref="AR22:AR24"/>
    <mergeCell ref="AF23:AG23"/>
    <mergeCell ref="AQ23:AQ24"/>
    <mergeCell ref="AL23:AL24"/>
    <mergeCell ref="AM23:AM24"/>
    <mergeCell ref="AN23:AN24"/>
    <mergeCell ref="AO23:AO24"/>
    <mergeCell ref="A20:AV20"/>
    <mergeCell ref="A17:AV17"/>
    <mergeCell ref="AD22:AD24"/>
    <mergeCell ref="AE22:AE24"/>
    <mergeCell ref="W22:W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B26:B27"/>
    <mergeCell ref="C26:C27"/>
    <mergeCell ref="D26:D27"/>
    <mergeCell ref="E26:E27"/>
    <mergeCell ref="F26:F27"/>
    <mergeCell ref="L26:L27"/>
    <mergeCell ref="O26:O27"/>
    <mergeCell ref="AL27:AO27"/>
    <mergeCell ref="G26:G27"/>
    <mergeCell ref="H26:H27"/>
    <mergeCell ref="I26:I27"/>
    <mergeCell ref="J26:J27"/>
    <mergeCell ref="K26:K27"/>
    <mergeCell ref="AL26:AO26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tabSelected="1" view="pageBreakPreview" topLeftCell="A19" zoomScale="80" zoomScaleNormal="90" zoomScaleSheetLayoutView="80" workbookViewId="0">
      <selection activeCell="B31" sqref="B1:E104857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25" t="str">
        <f>'1. паспорт местоположение'!$A$5</f>
        <v>Год раскрытия информации: 2024 год</v>
      </c>
      <c r="B5" s="325"/>
    </row>
    <row r="6" spans="1:2" ht="18.75" x14ac:dyDescent="0.3">
      <c r="A6" s="21"/>
      <c r="B6" s="21"/>
    </row>
    <row r="7" spans="1:2" x14ac:dyDescent="0.25">
      <c r="A7" s="326" t="s">
        <v>5</v>
      </c>
      <c r="B7" s="326"/>
    </row>
    <row r="8" spans="1:2" ht="18.75" x14ac:dyDescent="0.25">
      <c r="A8" s="61"/>
      <c r="B8" s="61"/>
    </row>
    <row r="9" spans="1:2" x14ac:dyDescent="0.25">
      <c r="A9" s="327" t="s">
        <v>287</v>
      </c>
      <c r="B9" s="327"/>
    </row>
    <row r="10" spans="1:2" x14ac:dyDescent="0.25">
      <c r="A10" s="211" t="s">
        <v>4</v>
      </c>
      <c r="B10" s="211"/>
    </row>
    <row r="11" spans="1:2" ht="18.75" x14ac:dyDescent="0.25">
      <c r="A11" s="61"/>
      <c r="B11" s="61"/>
    </row>
    <row r="12" spans="1:2" x14ac:dyDescent="0.25">
      <c r="A12" s="327" t="str">
        <f>'6.2. Паспорт фин осв ввод'!A11:K11</f>
        <v>M_Che426</v>
      </c>
      <c r="B12" s="327"/>
    </row>
    <row r="13" spans="1:2" x14ac:dyDescent="0.25">
      <c r="A13" s="211" t="s">
        <v>3</v>
      </c>
      <c r="B13" s="211"/>
    </row>
    <row r="14" spans="1:2" ht="18.75" x14ac:dyDescent="0.25">
      <c r="A14" s="1"/>
      <c r="B14" s="1"/>
    </row>
    <row r="15" spans="1:2" ht="42.75" customHeight="1" x14ac:dyDescent="0.25">
      <c r="A15" s="329" t="str">
        <f>'6.2. Паспорт фин осв ввод'!A14:K14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329"/>
    </row>
    <row r="16" spans="1:2" x14ac:dyDescent="0.25">
      <c r="A16" s="211" t="s">
        <v>2</v>
      </c>
      <c r="B16" s="211"/>
    </row>
    <row r="17" spans="1:9" x14ac:dyDescent="0.25">
      <c r="B17" s="85"/>
    </row>
    <row r="18" spans="1:9" ht="20.25" customHeight="1" x14ac:dyDescent="0.25">
      <c r="A18" s="328" t="s">
        <v>278</v>
      </c>
      <c r="B18" s="325"/>
    </row>
    <row r="19" spans="1:9" ht="10.5" customHeight="1" x14ac:dyDescent="0.25">
      <c r="B19" s="6"/>
    </row>
    <row r="20" spans="1:9" ht="10.5" customHeight="1" x14ac:dyDescent="0.25">
      <c r="B20" s="86"/>
    </row>
    <row r="21" spans="1:9" ht="90" x14ac:dyDescent="0.25">
      <c r="A21" s="153" t="s">
        <v>173</v>
      </c>
      <c r="B21" s="87" t="str">
        <f>'1. паспорт местоположение'!A15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</row>
    <row r="22" spans="1:9" x14ac:dyDescent="0.25">
      <c r="A22" s="153" t="s">
        <v>174</v>
      </c>
      <c r="B22" s="87" t="str">
        <f>'1. паспорт местоположение'!C27</f>
        <v>г.Грозный</v>
      </c>
    </row>
    <row r="23" spans="1:9" ht="30" x14ac:dyDescent="0.25">
      <c r="A23" s="153" t="s">
        <v>170</v>
      </c>
      <c r="B23" s="8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53" t="s">
        <v>175</v>
      </c>
      <c r="B24" s="88" t="s">
        <v>497</v>
      </c>
    </row>
    <row r="25" spans="1:9" x14ac:dyDescent="0.25">
      <c r="A25" s="154" t="s">
        <v>176</v>
      </c>
      <c r="B25" s="201">
        <f>VLOOKUP($A$12,'[1]6.2. отчет'!$D:$OM,400,0)</f>
        <v>2024</v>
      </c>
    </row>
    <row r="26" spans="1:9" x14ac:dyDescent="0.25">
      <c r="A26" s="154" t="s">
        <v>177</v>
      </c>
      <c r="B26" s="88" t="s">
        <v>498</v>
      </c>
      <c r="I26" s="89"/>
    </row>
    <row r="27" spans="1:9" ht="27.75" customHeight="1" x14ac:dyDescent="0.25">
      <c r="A27" s="155" t="s">
        <v>451</v>
      </c>
      <c r="B27" s="90">
        <f>'6.2. Паспорт фин осв ввод'!C24</f>
        <v>65.617463011200002</v>
      </c>
      <c r="C27" s="147"/>
    </row>
    <row r="28" spans="1:9" x14ac:dyDescent="0.25">
      <c r="A28" s="156" t="s">
        <v>178</v>
      </c>
      <c r="B28" s="156" t="s">
        <v>289</v>
      </c>
    </row>
    <row r="29" spans="1:9" x14ac:dyDescent="0.25">
      <c r="A29" s="155" t="s">
        <v>179</v>
      </c>
      <c r="B29" s="157">
        <f>B30</f>
        <v>65.619635467999998</v>
      </c>
    </row>
    <row r="30" spans="1:9" ht="28.5" x14ac:dyDescent="0.25">
      <c r="A30" s="155" t="s">
        <v>180</v>
      </c>
      <c r="B30" s="157">
        <f>63.8+B41</f>
        <v>65.619635467999998</v>
      </c>
    </row>
    <row r="31" spans="1:9" x14ac:dyDescent="0.25">
      <c r="A31" s="156" t="s">
        <v>181</v>
      </c>
      <c r="B31" s="156"/>
    </row>
    <row r="32" spans="1:9" ht="30" x14ac:dyDescent="0.25">
      <c r="A32" s="155" t="s">
        <v>182</v>
      </c>
      <c r="B32" s="90" t="s">
        <v>508</v>
      </c>
    </row>
    <row r="33" spans="1:2" ht="18.75" customHeight="1" x14ac:dyDescent="0.25">
      <c r="A33" s="156" t="s">
        <v>509</v>
      </c>
      <c r="B33" s="90">
        <f>'7. Паспорт отчет о закупке'!AD27/1000</f>
        <v>316.20189099999999</v>
      </c>
    </row>
    <row r="34" spans="1:2" ht="23.25" customHeight="1" x14ac:dyDescent="0.25">
      <c r="A34" s="156" t="s">
        <v>184</v>
      </c>
      <c r="B34" s="158">
        <f>63.8/B27</f>
        <v>0.97230214446282714</v>
      </c>
    </row>
    <row r="35" spans="1:2" x14ac:dyDescent="0.25">
      <c r="A35" s="156" t="s">
        <v>185</v>
      </c>
      <c r="B35" s="90">
        <v>39.777250539999997</v>
      </c>
    </row>
    <row r="36" spans="1:2" x14ac:dyDescent="0.25">
      <c r="A36" s="156" t="s">
        <v>186</v>
      </c>
      <c r="B36" s="90">
        <v>41.87079</v>
      </c>
    </row>
    <row r="37" spans="1:2" s="184" customFormat="1" ht="28.5" x14ac:dyDescent="0.25">
      <c r="A37" s="183" t="s">
        <v>188</v>
      </c>
      <c r="B37" s="183" t="s">
        <v>510</v>
      </c>
    </row>
    <row r="38" spans="1:2" s="184" customFormat="1" x14ac:dyDescent="0.25">
      <c r="A38" s="185" t="s">
        <v>476</v>
      </c>
      <c r="B38" s="186">
        <f>'7. Паспорт отчет о закупке'!AD26/1000</f>
        <v>12.151335</v>
      </c>
    </row>
    <row r="39" spans="1:2" s="184" customFormat="1" x14ac:dyDescent="0.25">
      <c r="A39" s="185" t="s">
        <v>184</v>
      </c>
      <c r="B39" s="187">
        <f>B41/B27</f>
        <v>2.7730963443213477E-2</v>
      </c>
    </row>
    <row r="40" spans="1:2" s="184" customFormat="1" x14ac:dyDescent="0.25">
      <c r="A40" s="185" t="s">
        <v>185</v>
      </c>
      <c r="B40" s="188">
        <v>1.8196364792000002</v>
      </c>
    </row>
    <row r="41" spans="1:2" s="184" customFormat="1" x14ac:dyDescent="0.25">
      <c r="A41" s="185" t="s">
        <v>186</v>
      </c>
      <c r="B41" s="188">
        <v>1.8196354679999998</v>
      </c>
    </row>
    <row r="42" spans="1:2" ht="28.5" x14ac:dyDescent="0.25">
      <c r="A42" s="155" t="s">
        <v>187</v>
      </c>
      <c r="B42" s="156"/>
    </row>
    <row r="43" spans="1:2" x14ac:dyDescent="0.25">
      <c r="A43" s="156" t="s">
        <v>183</v>
      </c>
      <c r="B43" s="87"/>
    </row>
    <row r="44" spans="1:2" x14ac:dyDescent="0.25">
      <c r="A44" s="156" t="s">
        <v>184</v>
      </c>
      <c r="B44" s="87"/>
    </row>
    <row r="45" spans="1:2" x14ac:dyDescent="0.25">
      <c r="A45" s="156" t="s">
        <v>185</v>
      </c>
      <c r="B45" s="87"/>
    </row>
    <row r="46" spans="1:2" x14ac:dyDescent="0.25">
      <c r="A46" s="156" t="s">
        <v>186</v>
      </c>
      <c r="B46" s="87"/>
    </row>
    <row r="47" spans="1:2" ht="28.5" x14ac:dyDescent="0.25">
      <c r="A47" s="155" t="s">
        <v>188</v>
      </c>
      <c r="B47" s="157"/>
    </row>
    <row r="48" spans="1:2" x14ac:dyDescent="0.25">
      <c r="A48" s="156" t="s">
        <v>445</v>
      </c>
      <c r="B48" s="159"/>
    </row>
    <row r="49" spans="1:5" x14ac:dyDescent="0.25">
      <c r="A49" s="156" t="s">
        <v>184</v>
      </c>
      <c r="B49" s="160"/>
    </row>
    <row r="50" spans="1:5" x14ac:dyDescent="0.25">
      <c r="A50" s="156" t="s">
        <v>185</v>
      </c>
      <c r="B50" s="159"/>
    </row>
    <row r="51" spans="1:5" x14ac:dyDescent="0.25">
      <c r="A51" s="156" t="s">
        <v>186</v>
      </c>
      <c r="B51" s="159"/>
    </row>
    <row r="52" spans="1:5" ht="28.5" x14ac:dyDescent="0.25">
      <c r="A52" s="154" t="s">
        <v>189</v>
      </c>
      <c r="B52" s="161">
        <f>B54+B55+B56</f>
        <v>1.0000331079060407</v>
      </c>
    </row>
    <row r="53" spans="1:5" x14ac:dyDescent="0.25">
      <c r="A53" s="91" t="s">
        <v>181</v>
      </c>
      <c r="B53" s="162"/>
    </row>
    <row r="54" spans="1:5" x14ac:dyDescent="0.25">
      <c r="A54" s="91" t="s">
        <v>190</v>
      </c>
      <c r="B54" s="158">
        <f>B34</f>
        <v>0.97230214446282714</v>
      </c>
    </row>
    <row r="55" spans="1:5" x14ac:dyDescent="0.25">
      <c r="A55" s="91" t="s">
        <v>191</v>
      </c>
      <c r="B55" s="158">
        <v>0</v>
      </c>
    </row>
    <row r="56" spans="1:5" x14ac:dyDescent="0.25">
      <c r="A56" s="91" t="s">
        <v>192</v>
      </c>
      <c r="B56" s="158">
        <f>B39</f>
        <v>2.7730963443213477E-2</v>
      </c>
    </row>
    <row r="57" spans="1:5" x14ac:dyDescent="0.25">
      <c r="A57" s="154" t="s">
        <v>455</v>
      </c>
      <c r="B57" s="197">
        <f>B58+B59</f>
        <v>0</v>
      </c>
    </row>
    <row r="58" spans="1:5" x14ac:dyDescent="0.25">
      <c r="A58" s="154" t="s">
        <v>456</v>
      </c>
      <c r="B58" s="163"/>
    </row>
    <row r="59" spans="1:5" x14ac:dyDescent="0.25">
      <c r="A59" s="154" t="s">
        <v>457</v>
      </c>
      <c r="B59" s="164">
        <v>0</v>
      </c>
    </row>
    <row r="60" spans="1:5" x14ac:dyDescent="0.25">
      <c r="A60" s="154" t="s">
        <v>193</v>
      </c>
      <c r="B60" s="165">
        <f>B61/$B$27</f>
        <v>0.6339301324725094</v>
      </c>
    </row>
    <row r="61" spans="1:5" x14ac:dyDescent="0.25">
      <c r="A61" s="154" t="s">
        <v>194</v>
      </c>
      <c r="B61" s="90">
        <f>'6.2. Паспорт фин осв ввод'!D24</f>
        <v>41.596887019200004</v>
      </c>
      <c r="C61" s="147">
        <f>B40+B35</f>
        <v>41.596887019199997</v>
      </c>
      <c r="D61" s="150">
        <f>B61-C61</f>
        <v>0</v>
      </c>
      <c r="E61" s="149"/>
    </row>
    <row r="62" spans="1:5" x14ac:dyDescent="0.25">
      <c r="A62" s="154" t="s">
        <v>195</v>
      </c>
      <c r="B62" s="165">
        <f>$B63/'6.2. Паспорт фин осв ввод'!$C$30</f>
        <v>0.66583534529269051</v>
      </c>
      <c r="D62" s="150"/>
    </row>
    <row r="63" spans="1:5" x14ac:dyDescent="0.25">
      <c r="A63" s="154" t="s">
        <v>196</v>
      </c>
      <c r="B63" s="90">
        <f>'6.2. Паспорт фин осв ввод'!D30</f>
        <v>36.408687889999996</v>
      </c>
      <c r="C63" s="148">
        <f>B41/1.2+B36/1.2</f>
        <v>36.408687889999996</v>
      </c>
      <c r="D63" s="150">
        <f>B63-C63</f>
        <v>0</v>
      </c>
      <c r="E63" s="149"/>
    </row>
    <row r="64" spans="1:5" x14ac:dyDescent="0.25">
      <c r="A64" s="166" t="s">
        <v>197</v>
      </c>
      <c r="B64" s="91"/>
    </row>
    <row r="65" spans="1:2" x14ac:dyDescent="0.25">
      <c r="A65" s="167" t="s">
        <v>198</v>
      </c>
      <c r="B65" s="91" t="s">
        <v>287</v>
      </c>
    </row>
    <row r="66" spans="1:2" x14ac:dyDescent="0.25">
      <c r="A66" s="167" t="s">
        <v>199</v>
      </c>
      <c r="B66" s="91" t="s">
        <v>515</v>
      </c>
    </row>
    <row r="67" spans="1:2" x14ac:dyDescent="0.25">
      <c r="A67" s="167" t="s">
        <v>200</v>
      </c>
      <c r="B67" s="91" t="s">
        <v>301</v>
      </c>
    </row>
    <row r="68" spans="1:2" x14ac:dyDescent="0.25">
      <c r="A68" s="167" t="s">
        <v>201</v>
      </c>
      <c r="B68" s="91" t="s">
        <v>506</v>
      </c>
    </row>
    <row r="69" spans="1:2" x14ac:dyDescent="0.25">
      <c r="A69" s="167" t="s">
        <v>202</v>
      </c>
      <c r="B69" s="91" t="s">
        <v>301</v>
      </c>
    </row>
    <row r="70" spans="1:2" ht="14.25" customHeight="1" x14ac:dyDescent="0.25">
      <c r="A70" s="91" t="s">
        <v>203</v>
      </c>
      <c r="B70" s="87" t="s">
        <v>290</v>
      </c>
    </row>
    <row r="71" spans="1:2" ht="28.5" x14ac:dyDescent="0.25">
      <c r="A71" s="154" t="s">
        <v>204</v>
      </c>
      <c r="B71" s="168">
        <f>B73+B74</f>
        <v>30</v>
      </c>
    </row>
    <row r="72" spans="1:2" x14ac:dyDescent="0.25">
      <c r="A72" s="91" t="s">
        <v>181</v>
      </c>
      <c r="B72" s="169"/>
    </row>
    <row r="73" spans="1:2" x14ac:dyDescent="0.25">
      <c r="A73" s="91" t="s">
        <v>205</v>
      </c>
      <c r="B73" s="169">
        <v>20</v>
      </c>
    </row>
    <row r="74" spans="1:2" x14ac:dyDescent="0.25">
      <c r="A74" s="91" t="s">
        <v>206</v>
      </c>
      <c r="B74" s="169">
        <v>10</v>
      </c>
    </row>
    <row r="75" spans="1:2" x14ac:dyDescent="0.25">
      <c r="A75" s="170" t="s">
        <v>207</v>
      </c>
      <c r="B75" s="87"/>
    </row>
    <row r="76" spans="1:2" x14ac:dyDescent="0.25">
      <c r="A76" s="154" t="s">
        <v>208</v>
      </c>
      <c r="B76" s="156"/>
    </row>
    <row r="77" spans="1:2" x14ac:dyDescent="0.25">
      <c r="A77" s="91" t="s">
        <v>209</v>
      </c>
      <c r="B77" s="87"/>
    </row>
    <row r="78" spans="1:2" x14ac:dyDescent="0.25">
      <c r="A78" s="91" t="s">
        <v>210</v>
      </c>
      <c r="B78" s="87"/>
    </row>
    <row r="79" spans="1:2" x14ac:dyDescent="0.25">
      <c r="A79" s="91" t="s">
        <v>211</v>
      </c>
      <c r="B79" s="87"/>
    </row>
    <row r="80" spans="1:2" ht="28.5" x14ac:dyDescent="0.25">
      <c r="A80" s="171" t="s">
        <v>212</v>
      </c>
      <c r="B80" s="91" t="str">
        <f>$B$26</f>
        <v>Строительство</v>
      </c>
    </row>
    <row r="81" spans="1:2" ht="28.5" x14ac:dyDescent="0.25">
      <c r="A81" s="154" t="s">
        <v>213</v>
      </c>
      <c r="B81" s="324"/>
    </row>
    <row r="82" spans="1:2" x14ac:dyDescent="0.25">
      <c r="A82" s="91" t="s">
        <v>214</v>
      </c>
      <c r="B82" s="324"/>
    </row>
    <row r="83" spans="1:2" x14ac:dyDescent="0.25">
      <c r="A83" s="91" t="s">
        <v>215</v>
      </c>
      <c r="B83" s="324"/>
    </row>
    <row r="84" spans="1:2" x14ac:dyDescent="0.25">
      <c r="A84" s="91" t="s">
        <v>216</v>
      </c>
      <c r="B84" s="324"/>
    </row>
    <row r="85" spans="1:2" x14ac:dyDescent="0.25">
      <c r="A85" s="91" t="s">
        <v>217</v>
      </c>
      <c r="B85" s="324"/>
    </row>
    <row r="86" spans="1:2" x14ac:dyDescent="0.25">
      <c r="A86" s="172" t="s">
        <v>218</v>
      </c>
      <c r="B86" s="324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1" sqref="A11:S11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58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05" t="str">
        <f>'1. паспорт местоположение'!$A$5</f>
        <v>Год раскрытия информации: 2024 год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</row>
    <row r="5" spans="1:24" s="2" customFormat="1" ht="15.75" x14ac:dyDescent="0.2">
      <c r="A5" s="28"/>
    </row>
    <row r="6" spans="1:24" s="2" customFormat="1" ht="18.75" x14ac:dyDescent="0.2">
      <c r="A6" s="209" t="s">
        <v>5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</row>
    <row r="7" spans="1:24" s="2" customFormat="1" ht="18.75" x14ac:dyDescent="0.2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</row>
    <row r="8" spans="1:24" s="2" customFormat="1" ht="18.75" customHeight="1" x14ac:dyDescent="0.2">
      <c r="A8" s="210" t="s">
        <v>309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</row>
    <row r="9" spans="1:24" s="2" customFormat="1" ht="18.75" customHeight="1" x14ac:dyDescent="0.2">
      <c r="A9" s="211" t="s">
        <v>4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2" customFormat="1" ht="18.75" x14ac:dyDescent="0.2">
      <c r="A10" s="20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</row>
    <row r="11" spans="1:24" s="2" customFormat="1" ht="18.75" customHeight="1" x14ac:dyDescent="0.2">
      <c r="A11" s="210" t="str">
        <f>'1. паспорт местоположение'!A12:C12</f>
        <v>M_Che426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</row>
    <row r="12" spans="1:24" s="2" customFormat="1" ht="18.75" customHeight="1" x14ac:dyDescent="0.2">
      <c r="A12" s="211" t="s">
        <v>3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42" customFormat="1" ht="15.75" customHeight="1" x14ac:dyDescent="0.2">
      <c r="A13" s="21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</row>
    <row r="14" spans="1:24" s="43" customFormat="1" ht="15.75" x14ac:dyDescent="0.2">
      <c r="A14" s="210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</row>
    <row r="15" spans="1:24" s="43" customFormat="1" ht="15" customHeight="1" x14ac:dyDescent="0.2">
      <c r="A15" s="211" t="s">
        <v>2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</row>
    <row r="16" spans="1:24" s="43" customFormat="1" ht="15" customHeight="1" x14ac:dyDescent="0.2">
      <c r="A16" s="215"/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67"/>
      <c r="U16" s="67"/>
      <c r="V16" s="67"/>
      <c r="W16" s="67"/>
      <c r="X16" s="67"/>
    </row>
    <row r="17" spans="1:27" s="43" customFormat="1" ht="45.75" customHeight="1" x14ac:dyDescent="0.2">
      <c r="A17" s="220" t="s">
        <v>458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76"/>
      <c r="U17" s="76"/>
      <c r="V17" s="76"/>
      <c r="W17" s="76"/>
      <c r="X17" s="76"/>
      <c r="Y17" s="76"/>
      <c r="Z17" s="76"/>
      <c r="AA17" s="76"/>
    </row>
    <row r="18" spans="1:27" s="43" customFormat="1" ht="15" customHeight="1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67"/>
      <c r="U18" s="67"/>
      <c r="V18" s="67"/>
      <c r="W18" s="67"/>
      <c r="X18" s="67"/>
    </row>
    <row r="19" spans="1:27" s="43" customFormat="1" ht="54" customHeight="1" x14ac:dyDescent="0.2">
      <c r="A19" s="214" t="s">
        <v>1</v>
      </c>
      <c r="B19" s="214" t="s">
        <v>310</v>
      </c>
      <c r="C19" s="217" t="s">
        <v>311</v>
      </c>
      <c r="D19" s="214" t="s">
        <v>312</v>
      </c>
      <c r="E19" s="214" t="s">
        <v>313</v>
      </c>
      <c r="F19" s="214" t="s">
        <v>314</v>
      </c>
      <c r="G19" s="214" t="s">
        <v>315</v>
      </c>
      <c r="H19" s="214" t="s">
        <v>316</v>
      </c>
      <c r="I19" s="214" t="s">
        <v>317</v>
      </c>
      <c r="J19" s="214" t="s">
        <v>318</v>
      </c>
      <c r="K19" s="214" t="s">
        <v>319</v>
      </c>
      <c r="L19" s="214" t="s">
        <v>320</v>
      </c>
      <c r="M19" s="214" t="s">
        <v>321</v>
      </c>
      <c r="N19" s="214" t="s">
        <v>322</v>
      </c>
      <c r="O19" s="214" t="s">
        <v>323</v>
      </c>
      <c r="P19" s="214" t="s">
        <v>324</v>
      </c>
      <c r="Q19" s="214" t="s">
        <v>325</v>
      </c>
      <c r="R19" s="214"/>
      <c r="S19" s="219" t="s">
        <v>326</v>
      </c>
      <c r="T19" s="67"/>
      <c r="U19" s="67"/>
      <c r="V19" s="67"/>
      <c r="W19" s="67"/>
      <c r="X19" s="67"/>
    </row>
    <row r="20" spans="1:27" s="43" customFormat="1" ht="180.75" customHeight="1" x14ac:dyDescent="0.2">
      <c r="A20" s="214"/>
      <c r="B20" s="214"/>
      <c r="C20" s="218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109" t="s">
        <v>327</v>
      </c>
      <c r="R20" s="44" t="s">
        <v>328</v>
      </c>
      <c r="S20" s="219"/>
      <c r="T20" s="69"/>
      <c r="U20" s="69"/>
      <c r="V20" s="69"/>
      <c r="W20" s="69"/>
      <c r="X20" s="69"/>
      <c r="Y20" s="82"/>
      <c r="Z20" s="82"/>
      <c r="AA20" s="82"/>
    </row>
    <row r="21" spans="1:27" s="43" customFormat="1" ht="18.75" x14ac:dyDescent="0.2">
      <c r="A21" s="109">
        <v>1</v>
      </c>
      <c r="B21" s="133">
        <v>2</v>
      </c>
      <c r="C21" s="109">
        <v>3</v>
      </c>
      <c r="D21" s="133">
        <v>4</v>
      </c>
      <c r="E21" s="109">
        <v>5</v>
      </c>
      <c r="F21" s="133">
        <v>6</v>
      </c>
      <c r="G21" s="109">
        <v>7</v>
      </c>
      <c r="H21" s="133">
        <v>8</v>
      </c>
      <c r="I21" s="109">
        <v>9</v>
      </c>
      <c r="J21" s="133">
        <v>10</v>
      </c>
      <c r="K21" s="109">
        <v>11</v>
      </c>
      <c r="L21" s="133">
        <v>12</v>
      </c>
      <c r="M21" s="109">
        <v>13</v>
      </c>
      <c r="N21" s="133">
        <v>14</v>
      </c>
      <c r="O21" s="109">
        <v>15</v>
      </c>
      <c r="P21" s="133">
        <v>16</v>
      </c>
      <c r="Q21" s="109">
        <v>17</v>
      </c>
      <c r="R21" s="133">
        <v>18</v>
      </c>
      <c r="S21" s="109">
        <v>19</v>
      </c>
      <c r="T21" s="69"/>
      <c r="U21" s="69"/>
      <c r="V21" s="69"/>
      <c r="W21" s="69"/>
      <c r="X21" s="69"/>
      <c r="Y21" s="82"/>
      <c r="Z21" s="82"/>
      <c r="AA21" s="82"/>
    </row>
    <row r="22" spans="1:27" s="139" customFormat="1" ht="31.5" x14ac:dyDescent="0.2">
      <c r="A22" s="134">
        <v>1</v>
      </c>
      <c r="B22" s="135" t="s">
        <v>490</v>
      </c>
      <c r="C22" s="135" t="s">
        <v>449</v>
      </c>
      <c r="D22" s="135" t="s">
        <v>499</v>
      </c>
      <c r="E22" s="66" t="s">
        <v>301</v>
      </c>
      <c r="F22" s="135" t="s">
        <v>491</v>
      </c>
      <c r="G22" s="135" t="s">
        <v>492</v>
      </c>
      <c r="H22" s="135">
        <v>5.6999999999999993</v>
      </c>
      <c r="I22" s="136">
        <v>0.1</v>
      </c>
      <c r="J22" s="135">
        <v>5.7999999999999989</v>
      </c>
      <c r="K22" s="66" t="s">
        <v>301</v>
      </c>
      <c r="L22" s="66" t="s">
        <v>301</v>
      </c>
      <c r="M22" s="135">
        <v>0</v>
      </c>
      <c r="N22" s="66" t="s">
        <v>301</v>
      </c>
      <c r="O22" s="66" t="s">
        <v>301</v>
      </c>
      <c r="P22" s="66" t="s">
        <v>301</v>
      </c>
      <c r="Q22" s="66" t="s">
        <v>301</v>
      </c>
      <c r="R22" s="66" t="s">
        <v>301</v>
      </c>
      <c r="S22" s="135">
        <v>249.958416</v>
      </c>
      <c r="T22" s="137"/>
      <c r="U22" s="137"/>
      <c r="V22" s="137"/>
      <c r="W22" s="137"/>
      <c r="X22" s="137"/>
      <c r="Y22" s="138"/>
      <c r="Z22" s="138"/>
      <c r="AA22" s="138"/>
    </row>
    <row r="23" spans="1:27" s="139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40"/>
      <c r="S23" s="140"/>
      <c r="T23" s="137"/>
      <c r="U23" s="137"/>
      <c r="V23" s="137"/>
      <c r="W23" s="138"/>
      <c r="X23" s="138"/>
      <c r="Y23" s="138"/>
      <c r="Z23" s="138"/>
      <c r="AA23" s="138"/>
    </row>
    <row r="24" spans="1:27" ht="20.25" customHeight="1" x14ac:dyDescent="0.25">
      <c r="A24" s="141"/>
      <c r="B24" s="135" t="s">
        <v>448</v>
      </c>
      <c r="C24" s="135"/>
      <c r="D24" s="135"/>
      <c r="E24" s="141" t="s">
        <v>449</v>
      </c>
      <c r="F24" s="141" t="s">
        <v>449</v>
      </c>
      <c r="G24" s="141" t="s">
        <v>449</v>
      </c>
      <c r="H24" s="141"/>
      <c r="I24" s="141"/>
      <c r="J24" s="141"/>
      <c r="K24" s="141"/>
      <c r="L24" s="141"/>
      <c r="M24" s="141"/>
      <c r="N24" s="141"/>
      <c r="O24" s="141"/>
      <c r="P24" s="141"/>
      <c r="Q24" s="142"/>
      <c r="R24" s="143"/>
      <c r="S24" s="143"/>
      <c r="T24" s="57"/>
      <c r="U24" s="57"/>
      <c r="V24" s="57"/>
      <c r="W24" s="57"/>
      <c r="X24" s="57"/>
      <c r="Y24" s="57"/>
      <c r="Z24" s="57"/>
      <c r="AA24" s="57"/>
    </row>
    <row r="25" spans="1:27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26" style="46" customWidth="1"/>
    <col min="4" max="4" width="16.140625" style="46" customWidth="1"/>
    <col min="5" max="5" width="11.140625" style="46" customWidth="1"/>
    <col min="6" max="6" width="11" style="46" customWidth="1"/>
    <col min="7" max="7" width="8.7109375" style="46" customWidth="1"/>
    <col min="8" max="8" width="11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05" t="str">
        <f>'1. паспорт местоположение'!$A$5</f>
        <v>Год раскрытия информации: 2024 год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</row>
    <row r="7" spans="1:20" s="2" customFormat="1" x14ac:dyDescent="0.2">
      <c r="A7" s="28"/>
    </row>
    <row r="8" spans="1:20" s="2" customFormat="1" ht="18.75" x14ac:dyDescent="0.2">
      <c r="A8" s="209" t="s">
        <v>5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</row>
    <row r="9" spans="1:20" s="2" customFormat="1" ht="18.75" x14ac:dyDescent="0.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</row>
    <row r="10" spans="1:20" s="2" customFormat="1" ht="18.75" customHeight="1" x14ac:dyDescent="0.2">
      <c r="A10" s="210" t="s">
        <v>309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s="2" customFormat="1" ht="18.75" customHeight="1" x14ac:dyDescent="0.2">
      <c r="A11" s="211" t="s">
        <v>4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0" s="2" customFormat="1" ht="18.75" x14ac:dyDescent="0.2">
      <c r="A12" s="209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</row>
    <row r="13" spans="1:20" s="2" customFormat="1" ht="18.75" customHeight="1" x14ac:dyDescent="0.2">
      <c r="A13" s="210" t="str">
        <f>'1. паспорт местоположение'!A12:C12</f>
        <v>M_Che426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s="2" customFormat="1" ht="18.75" customHeight="1" x14ac:dyDescent="0.2">
      <c r="A14" s="211" t="s">
        <v>3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</row>
    <row r="15" spans="1:20" s="42" customFormat="1" ht="15.75" customHeight="1" x14ac:dyDescent="0.2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0" s="43" customFormat="1" ht="52.5" customHeight="1" x14ac:dyDescent="0.2">
      <c r="A16" s="212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12"/>
      <c r="C16" s="212"/>
      <c r="D16" s="212"/>
      <c r="E16" s="212"/>
      <c r="F16" s="212"/>
      <c r="G16" s="212"/>
      <c r="H16" s="212"/>
      <c r="I16" s="212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</row>
    <row r="17" spans="1:113" s="43" customFormat="1" ht="15" customHeight="1" x14ac:dyDescent="0.2">
      <c r="A17" s="211" t="s">
        <v>2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</row>
    <row r="18" spans="1:113" s="43" customFormat="1" ht="15" customHeight="1" x14ac:dyDescent="0.2">
      <c r="A18" s="215"/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</row>
    <row r="19" spans="1:113" s="43" customFormat="1" ht="15" customHeight="1" x14ac:dyDescent="0.2">
      <c r="A19" s="221" t="s">
        <v>329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</row>
    <row r="20" spans="1:113" s="45" customFormat="1" ht="21" customHeight="1" x14ac:dyDescent="0.25">
      <c r="A20" s="233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</row>
    <row r="21" spans="1:113" ht="46.5" customHeight="1" x14ac:dyDescent="0.25">
      <c r="A21" s="234" t="s">
        <v>1</v>
      </c>
      <c r="B21" s="223" t="s">
        <v>330</v>
      </c>
      <c r="C21" s="224"/>
      <c r="D21" s="227" t="s">
        <v>331</v>
      </c>
      <c r="E21" s="223" t="s">
        <v>332</v>
      </c>
      <c r="F21" s="224"/>
      <c r="G21" s="223" t="s">
        <v>333</v>
      </c>
      <c r="H21" s="224"/>
      <c r="I21" s="223" t="s">
        <v>334</v>
      </c>
      <c r="J21" s="224"/>
      <c r="K21" s="227" t="s">
        <v>335</v>
      </c>
      <c r="L21" s="223" t="s">
        <v>336</v>
      </c>
      <c r="M21" s="224"/>
      <c r="N21" s="223" t="s">
        <v>358</v>
      </c>
      <c r="O21" s="224"/>
      <c r="P21" s="227" t="s">
        <v>337</v>
      </c>
      <c r="Q21" s="230" t="s">
        <v>338</v>
      </c>
      <c r="R21" s="231"/>
      <c r="S21" s="230" t="s">
        <v>339</v>
      </c>
      <c r="T21" s="232"/>
    </row>
    <row r="22" spans="1:113" ht="204.75" customHeight="1" x14ac:dyDescent="0.25">
      <c r="A22" s="235"/>
      <c r="B22" s="225"/>
      <c r="C22" s="226"/>
      <c r="D22" s="229"/>
      <c r="E22" s="225"/>
      <c r="F22" s="226"/>
      <c r="G22" s="225"/>
      <c r="H22" s="226"/>
      <c r="I22" s="225"/>
      <c r="J22" s="226"/>
      <c r="K22" s="228"/>
      <c r="L22" s="225"/>
      <c r="M22" s="226"/>
      <c r="N22" s="225"/>
      <c r="O22" s="226"/>
      <c r="P22" s="228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36"/>
      <c r="B23" s="47" t="s">
        <v>344</v>
      </c>
      <c r="C23" s="47" t="s">
        <v>345</v>
      </c>
      <c r="D23" s="228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70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45" customFormat="1" ht="54" customHeight="1" x14ac:dyDescent="0.25">
      <c r="A25" s="49">
        <v>1</v>
      </c>
      <c r="B25" s="50" t="s">
        <v>301</v>
      </c>
      <c r="C25" s="50" t="s">
        <v>301</v>
      </c>
      <c r="D25" s="50" t="s">
        <v>301</v>
      </c>
      <c r="E25" s="50" t="s">
        <v>301</v>
      </c>
      <c r="F25" s="50" t="s">
        <v>301</v>
      </c>
      <c r="G25" s="50" t="s">
        <v>301</v>
      </c>
      <c r="H25" s="50" t="s">
        <v>301</v>
      </c>
      <c r="I25" s="50" t="s">
        <v>301</v>
      </c>
      <c r="J25" s="50" t="s">
        <v>301</v>
      </c>
      <c r="K25" s="50" t="s">
        <v>301</v>
      </c>
      <c r="L25" s="50" t="s">
        <v>301</v>
      </c>
      <c r="M25" s="50" t="s">
        <v>301</v>
      </c>
      <c r="N25" s="50" t="s">
        <v>301</v>
      </c>
      <c r="O25" s="50" t="s">
        <v>301</v>
      </c>
      <c r="P25" s="50" t="s">
        <v>301</v>
      </c>
      <c r="Q25" s="50" t="s">
        <v>301</v>
      </c>
      <c r="R25" s="50" t="s">
        <v>301</v>
      </c>
      <c r="S25" s="50" t="s">
        <v>301</v>
      </c>
      <c r="T25" s="50" t="s">
        <v>301</v>
      </c>
    </row>
    <row r="26" spans="1:113" ht="3" customHeight="1" x14ac:dyDescent="0.25"/>
    <row r="27" spans="1:113" s="126" customFormat="1" ht="12.75" x14ac:dyDescent="0.2">
      <c r="B27" s="125"/>
      <c r="C27" s="125"/>
      <c r="K27" s="125"/>
    </row>
    <row r="28" spans="1:113" s="126" customFormat="1" x14ac:dyDescent="0.25">
      <c r="B28" s="128" t="s">
        <v>346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</row>
    <row r="29" spans="1:113" x14ac:dyDescent="0.25">
      <c r="B29" s="222" t="s">
        <v>347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</row>
    <row r="30" spans="1:113" x14ac:dyDescent="0.25"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  <c r="CC30" s="128"/>
      <c r="CD30" s="128"/>
      <c r="CE30" s="128"/>
      <c r="CF30" s="128"/>
      <c r="CG30" s="128"/>
      <c r="CH30" s="128"/>
      <c r="CI30" s="128"/>
      <c r="CJ30" s="128"/>
      <c r="CK30" s="128"/>
      <c r="CL30" s="128"/>
      <c r="CM30" s="128"/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8"/>
      <c r="DG30" s="128"/>
      <c r="DH30" s="128"/>
      <c r="DI30" s="128"/>
    </row>
    <row r="31" spans="1:113" x14ac:dyDescent="0.25">
      <c r="B31" s="129" t="s">
        <v>348</v>
      </c>
      <c r="C31" s="129"/>
      <c r="D31" s="129"/>
      <c r="E31" s="129"/>
      <c r="F31" s="130"/>
      <c r="G31" s="130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31"/>
      <c r="T31" s="131"/>
      <c r="U31" s="131"/>
      <c r="V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31"/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</row>
    <row r="32" spans="1:113" x14ac:dyDescent="0.25">
      <c r="B32" s="129" t="s">
        <v>349</v>
      </c>
      <c r="C32" s="129"/>
      <c r="D32" s="129"/>
      <c r="E32" s="129"/>
      <c r="F32" s="130"/>
      <c r="G32" s="130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  <c r="CC32" s="128"/>
      <c r="CD32" s="128"/>
      <c r="CE32" s="128"/>
      <c r="CF32" s="128"/>
      <c r="CG32" s="128"/>
      <c r="CH32" s="128"/>
      <c r="CI32" s="128"/>
      <c r="CJ32" s="128"/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8"/>
      <c r="CV32" s="128"/>
      <c r="CW32" s="128"/>
      <c r="CX32" s="128"/>
      <c r="CY32" s="128"/>
      <c r="CZ32" s="128"/>
      <c r="DA32" s="128"/>
      <c r="DB32" s="128"/>
      <c r="DC32" s="128"/>
      <c r="DD32" s="128"/>
      <c r="DE32" s="128"/>
      <c r="DF32" s="128"/>
      <c r="DG32" s="128"/>
      <c r="DH32" s="128"/>
      <c r="DI32" s="128"/>
    </row>
    <row r="33" spans="2:113" s="130" customFormat="1" x14ac:dyDescent="0.25">
      <c r="B33" s="129" t="s">
        <v>350</v>
      </c>
      <c r="C33" s="129"/>
      <c r="D33" s="129"/>
      <c r="E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</row>
    <row r="34" spans="2:113" s="130" customFormat="1" x14ac:dyDescent="0.25">
      <c r="B34" s="129" t="s">
        <v>351</v>
      </c>
      <c r="C34" s="129"/>
      <c r="D34" s="129"/>
      <c r="E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</row>
    <row r="35" spans="2:113" s="130" customFormat="1" x14ac:dyDescent="0.25">
      <c r="B35" s="129" t="s">
        <v>352</v>
      </c>
      <c r="C35" s="129"/>
      <c r="D35" s="129"/>
      <c r="E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</row>
    <row r="36" spans="2:113" s="130" customFormat="1" x14ac:dyDescent="0.25">
      <c r="B36" s="129" t="s">
        <v>353</v>
      </c>
      <c r="C36" s="129"/>
      <c r="D36" s="129"/>
      <c r="E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</row>
    <row r="37" spans="2:113" s="130" customFormat="1" x14ac:dyDescent="0.25">
      <c r="B37" s="129" t="s">
        <v>354</v>
      </c>
      <c r="C37" s="129"/>
      <c r="D37" s="129"/>
      <c r="E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</row>
    <row r="38" spans="2:113" s="130" customFormat="1" x14ac:dyDescent="0.25">
      <c r="B38" s="129" t="s">
        <v>355</v>
      </c>
      <c r="C38" s="129"/>
      <c r="D38" s="129"/>
      <c r="E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</row>
    <row r="39" spans="2:113" s="130" customFormat="1" x14ac:dyDescent="0.25">
      <c r="B39" s="129" t="s">
        <v>356</v>
      </c>
      <c r="C39" s="129"/>
      <c r="D39" s="129"/>
      <c r="E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2"/>
      <c r="CN39" s="132"/>
      <c r="CO39" s="132"/>
      <c r="CP39" s="132"/>
      <c r="CQ39" s="132"/>
      <c r="CR39" s="132"/>
      <c r="CS39" s="132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</row>
    <row r="40" spans="2:113" s="130" customFormat="1" x14ac:dyDescent="0.25">
      <c r="B40" s="129" t="s">
        <v>357</v>
      </c>
      <c r="C40" s="129"/>
      <c r="D40" s="129"/>
      <c r="E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</row>
    <row r="41" spans="2:113" s="130" customFormat="1" x14ac:dyDescent="0.25">
      <c r="Q41" s="129"/>
      <c r="R41" s="129"/>
      <c r="S41" s="129"/>
      <c r="T41" s="129"/>
      <c r="U41" s="129"/>
      <c r="V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</row>
    <row r="42" spans="2:113" s="130" customFormat="1" x14ac:dyDescent="0.25"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6" customWidth="1"/>
    <col min="4" max="4" width="11.5703125" style="46" customWidth="1"/>
    <col min="5" max="5" width="11.8554687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8.7109375" style="46" customWidth="1"/>
    <col min="24" max="24" width="24.5703125" style="46" customWidth="1"/>
    <col min="25" max="25" width="15.285156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05" t="str">
        <f>'1. паспорт местоположение'!$A$5</f>
        <v>Год раскрытия информации: 2024 год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</row>
    <row r="6" spans="1:27" s="2" customFormat="1" x14ac:dyDescent="0.2">
      <c r="A6" s="28"/>
    </row>
    <row r="7" spans="1:27" s="2" customFormat="1" ht="18.75" x14ac:dyDescent="0.2">
      <c r="A7" s="209" t="s">
        <v>5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</row>
    <row r="8" spans="1:27" s="2" customFormat="1" ht="18.75" x14ac:dyDescent="0.2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</row>
    <row r="9" spans="1:27" s="2" customFormat="1" ht="18.75" customHeight="1" x14ac:dyDescent="0.2">
      <c r="A9" s="210" t="s">
        <v>309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</row>
    <row r="10" spans="1:27" s="2" customFormat="1" ht="18.75" customHeight="1" x14ac:dyDescent="0.2">
      <c r="A10" s="211" t="s">
        <v>4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</row>
    <row r="11" spans="1:27" s="2" customFormat="1" ht="18.75" x14ac:dyDescent="0.2">
      <c r="A11" s="209"/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</row>
    <row r="12" spans="1:27" s="2" customFormat="1" ht="18.75" customHeight="1" x14ac:dyDescent="0.2">
      <c r="A12" s="210" t="str">
        <f>'1. паспорт местоположение'!A12:C12</f>
        <v>M_Che426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</row>
    <row r="13" spans="1:27" s="2" customFormat="1" ht="18.75" customHeight="1" x14ac:dyDescent="0.2">
      <c r="A13" s="211" t="s">
        <v>3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</row>
    <row r="14" spans="1:27" s="42" customFormat="1" ht="15.75" customHeight="1" x14ac:dyDescent="0.2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7" s="43" customFormat="1" x14ac:dyDescent="0.2">
      <c r="A15" s="212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</row>
    <row r="16" spans="1:27" s="43" customFormat="1" ht="15" customHeight="1" x14ac:dyDescent="0.2">
      <c r="A16" s="211" t="s">
        <v>2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</row>
    <row r="17" spans="1:27" s="43" customFormat="1" ht="15" customHeight="1" x14ac:dyDescent="0.2"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</row>
    <row r="18" spans="1:27" s="43" customFormat="1" ht="15" customHeight="1" x14ac:dyDescent="0.2"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</row>
    <row r="19" spans="1:27" ht="25.5" customHeight="1" x14ac:dyDescent="0.25">
      <c r="A19" s="221" t="s">
        <v>359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</row>
    <row r="20" spans="1:27" s="45" customFormat="1" ht="21" customHeight="1" x14ac:dyDescent="0.25"/>
    <row r="21" spans="1:27" ht="15.75" customHeight="1" x14ac:dyDescent="0.25">
      <c r="A21" s="227" t="s">
        <v>1</v>
      </c>
      <c r="B21" s="223" t="s">
        <v>360</v>
      </c>
      <c r="C21" s="224"/>
      <c r="D21" s="223" t="s">
        <v>361</v>
      </c>
      <c r="E21" s="224"/>
      <c r="F21" s="230" t="s">
        <v>319</v>
      </c>
      <c r="G21" s="232"/>
      <c r="H21" s="232"/>
      <c r="I21" s="231"/>
      <c r="J21" s="227" t="s">
        <v>362</v>
      </c>
      <c r="K21" s="223" t="s">
        <v>363</v>
      </c>
      <c r="L21" s="224"/>
      <c r="M21" s="223" t="s">
        <v>364</v>
      </c>
      <c r="N21" s="224"/>
      <c r="O21" s="223" t="s">
        <v>365</v>
      </c>
      <c r="P21" s="224"/>
      <c r="Q21" s="223" t="s">
        <v>366</v>
      </c>
      <c r="R21" s="224"/>
      <c r="S21" s="227" t="s">
        <v>367</v>
      </c>
      <c r="T21" s="227" t="s">
        <v>368</v>
      </c>
      <c r="U21" s="227" t="s">
        <v>369</v>
      </c>
      <c r="V21" s="223" t="s">
        <v>370</v>
      </c>
      <c r="W21" s="224"/>
      <c r="X21" s="230" t="s">
        <v>338</v>
      </c>
      <c r="Y21" s="232"/>
      <c r="Z21" s="230" t="s">
        <v>339</v>
      </c>
      <c r="AA21" s="232"/>
    </row>
    <row r="22" spans="1:27" ht="216" customHeight="1" x14ac:dyDescent="0.25">
      <c r="A22" s="229"/>
      <c r="B22" s="225"/>
      <c r="C22" s="226"/>
      <c r="D22" s="225"/>
      <c r="E22" s="226"/>
      <c r="F22" s="230" t="s">
        <v>371</v>
      </c>
      <c r="G22" s="231"/>
      <c r="H22" s="230" t="s">
        <v>372</v>
      </c>
      <c r="I22" s="231"/>
      <c r="J22" s="228"/>
      <c r="K22" s="225"/>
      <c r="L22" s="226"/>
      <c r="M22" s="225"/>
      <c r="N22" s="226"/>
      <c r="O22" s="225"/>
      <c r="P22" s="226"/>
      <c r="Q22" s="225"/>
      <c r="R22" s="226"/>
      <c r="S22" s="228"/>
      <c r="T22" s="228"/>
      <c r="U22" s="228"/>
      <c r="V22" s="225"/>
      <c r="W22" s="226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28"/>
      <c r="B23" s="70" t="s">
        <v>344</v>
      </c>
      <c r="C23" s="174" t="s">
        <v>345</v>
      </c>
      <c r="D23" s="70" t="s">
        <v>344</v>
      </c>
      <c r="E23" s="70" t="s">
        <v>345</v>
      </c>
      <c r="F23" s="70" t="s">
        <v>344</v>
      </c>
      <c r="G23" s="70" t="s">
        <v>345</v>
      </c>
      <c r="H23" s="70" t="s">
        <v>344</v>
      </c>
      <c r="I23" s="70" t="s">
        <v>345</v>
      </c>
      <c r="J23" s="70" t="s">
        <v>344</v>
      </c>
      <c r="K23" s="70" t="s">
        <v>344</v>
      </c>
      <c r="L23" s="70" t="s">
        <v>345</v>
      </c>
      <c r="M23" s="70" t="s">
        <v>344</v>
      </c>
      <c r="N23" s="70" t="s">
        <v>345</v>
      </c>
      <c r="O23" s="70" t="s">
        <v>344</v>
      </c>
      <c r="P23" s="70" t="s">
        <v>345</v>
      </c>
      <c r="Q23" s="70" t="s">
        <v>344</v>
      </c>
      <c r="R23" s="70" t="s">
        <v>345</v>
      </c>
      <c r="S23" s="70" t="s">
        <v>344</v>
      </c>
      <c r="T23" s="70" t="s">
        <v>344</v>
      </c>
      <c r="U23" s="70" t="s">
        <v>344</v>
      </c>
      <c r="V23" s="70" t="s">
        <v>344</v>
      </c>
      <c r="W23" s="70" t="s">
        <v>345</v>
      </c>
      <c r="X23" s="70" t="s">
        <v>344</v>
      </c>
      <c r="Y23" s="70" t="s">
        <v>344</v>
      </c>
      <c r="Z23" s="47" t="s">
        <v>344</v>
      </c>
      <c r="AA23" s="47" t="s">
        <v>344</v>
      </c>
    </row>
    <row r="24" spans="1:27" x14ac:dyDescent="0.25">
      <c r="A24" s="123">
        <v>1</v>
      </c>
      <c r="B24" s="123">
        <v>2</v>
      </c>
      <c r="C24" s="123">
        <v>3</v>
      </c>
      <c r="D24" s="123">
        <v>4</v>
      </c>
      <c r="E24" s="123">
        <v>5</v>
      </c>
      <c r="F24" s="123">
        <v>6</v>
      </c>
      <c r="G24" s="123">
        <v>7</v>
      </c>
      <c r="H24" s="123">
        <v>8</v>
      </c>
      <c r="I24" s="123">
        <v>9</v>
      </c>
      <c r="J24" s="123">
        <v>10</v>
      </c>
      <c r="K24" s="123">
        <v>11</v>
      </c>
      <c r="L24" s="123">
        <v>12</v>
      </c>
      <c r="M24" s="123">
        <v>13</v>
      </c>
      <c r="N24" s="123">
        <v>14</v>
      </c>
      <c r="O24" s="123">
        <v>15</v>
      </c>
      <c r="P24" s="123">
        <v>16</v>
      </c>
      <c r="Q24" s="123">
        <v>19</v>
      </c>
      <c r="R24" s="123">
        <v>20</v>
      </c>
      <c r="S24" s="123">
        <v>21</v>
      </c>
      <c r="T24" s="123">
        <v>22</v>
      </c>
      <c r="U24" s="123">
        <v>23</v>
      </c>
      <c r="V24" s="123">
        <v>24</v>
      </c>
      <c r="W24" s="123">
        <v>25</v>
      </c>
      <c r="X24" s="123">
        <v>26</v>
      </c>
      <c r="Y24" s="123">
        <v>27</v>
      </c>
      <c r="Z24" s="123">
        <v>28</v>
      </c>
      <c r="AA24" s="123">
        <v>29</v>
      </c>
    </row>
    <row r="25" spans="1:27" s="45" customFormat="1" ht="24" customHeight="1" x14ac:dyDescent="0.25">
      <c r="A25" s="124" t="s">
        <v>301</v>
      </c>
      <c r="B25" s="124" t="s">
        <v>301</v>
      </c>
      <c r="C25" s="124" t="s">
        <v>301</v>
      </c>
      <c r="D25" s="124" t="s">
        <v>301</v>
      </c>
      <c r="E25" s="124" t="s">
        <v>301</v>
      </c>
      <c r="F25" s="124" t="s">
        <v>301</v>
      </c>
      <c r="G25" s="124" t="s">
        <v>301</v>
      </c>
      <c r="H25" s="124" t="s">
        <v>301</v>
      </c>
      <c r="I25" s="124" t="s">
        <v>301</v>
      </c>
      <c r="J25" s="124" t="s">
        <v>301</v>
      </c>
      <c r="K25" s="124" t="s">
        <v>301</v>
      </c>
      <c r="L25" s="124" t="s">
        <v>301</v>
      </c>
      <c r="M25" s="124" t="s">
        <v>301</v>
      </c>
      <c r="N25" s="124" t="s">
        <v>301</v>
      </c>
      <c r="O25" s="124" t="s">
        <v>301</v>
      </c>
      <c r="P25" s="124" t="s">
        <v>301</v>
      </c>
      <c r="Q25" s="124" t="s">
        <v>301</v>
      </c>
      <c r="R25" s="124" t="s">
        <v>301</v>
      </c>
      <c r="S25" s="124" t="s">
        <v>301</v>
      </c>
      <c r="T25" s="124" t="s">
        <v>301</v>
      </c>
      <c r="U25" s="124" t="s">
        <v>301</v>
      </c>
      <c r="V25" s="124" t="s">
        <v>301</v>
      </c>
      <c r="W25" s="124" t="s">
        <v>301</v>
      </c>
      <c r="X25" s="124" t="s">
        <v>301</v>
      </c>
      <c r="Y25" s="124" t="s">
        <v>301</v>
      </c>
      <c r="Z25" s="124" t="s">
        <v>301</v>
      </c>
      <c r="AA25" s="124" t="s">
        <v>301</v>
      </c>
    </row>
    <row r="26" spans="1:27" ht="21.75" customHeight="1" x14ac:dyDescent="0.25"/>
    <row r="27" spans="1:27" s="126" customFormat="1" ht="12.75" x14ac:dyDescent="0.2">
      <c r="A27" s="125"/>
      <c r="B27" s="125"/>
      <c r="C27" s="125"/>
      <c r="E27" s="125"/>
      <c r="X27" s="127"/>
      <c r="Y27" s="127"/>
      <c r="Z27" s="127"/>
      <c r="AA27" s="127"/>
    </row>
    <row r="28" spans="1:27" s="126" customFormat="1" ht="12.75" x14ac:dyDescent="0.2">
      <c r="A28" s="125"/>
      <c r="B28" s="125"/>
      <c r="C28" s="125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J23" sqref="J23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05" t="str">
        <f>'1. паспорт местоположение'!A5:C5</f>
        <v>Год раскрытия информации: 2024 год</v>
      </c>
      <c r="B5" s="205"/>
      <c r="C5" s="205"/>
    </row>
    <row r="6" spans="1:3" s="2" customFormat="1" ht="7.5" customHeight="1" x14ac:dyDescent="0.2">
      <c r="A6" s="28"/>
    </row>
    <row r="7" spans="1:3" s="2" customFormat="1" ht="18.75" x14ac:dyDescent="0.2">
      <c r="A7" s="209" t="s">
        <v>5</v>
      </c>
      <c r="B7" s="209"/>
      <c r="C7" s="209"/>
    </row>
    <row r="8" spans="1:3" s="2" customFormat="1" ht="9.75" customHeight="1" x14ac:dyDescent="0.2">
      <c r="A8" s="209"/>
      <c r="B8" s="209"/>
      <c r="C8" s="209"/>
    </row>
    <row r="9" spans="1:3" s="2" customFormat="1" ht="15.75" x14ac:dyDescent="0.2">
      <c r="A9" s="210" t="str">
        <f>'1. паспорт местоположение'!A9:C9</f>
        <v>АО "Чеченэнерго"</v>
      </c>
      <c r="B9" s="210"/>
      <c r="C9" s="210"/>
    </row>
    <row r="10" spans="1:3" s="2" customFormat="1" ht="15.75" x14ac:dyDescent="0.2">
      <c r="A10" s="211" t="s">
        <v>4</v>
      </c>
      <c r="B10" s="211"/>
      <c r="C10" s="211"/>
    </row>
    <row r="11" spans="1:3" s="2" customFormat="1" ht="10.5" customHeight="1" x14ac:dyDescent="0.2">
      <c r="A11" s="238"/>
      <c r="B11" s="238"/>
      <c r="C11" s="238"/>
    </row>
    <row r="12" spans="1:3" s="2" customFormat="1" ht="15.75" x14ac:dyDescent="0.2">
      <c r="A12" s="210" t="str">
        <f>'1. паспорт местоположение'!A12:C12</f>
        <v>M_Che426</v>
      </c>
      <c r="B12" s="210"/>
      <c r="C12" s="210"/>
    </row>
    <row r="13" spans="1:3" s="2" customFormat="1" ht="15.75" x14ac:dyDescent="0.2">
      <c r="A13" s="211" t="s">
        <v>3</v>
      </c>
      <c r="B13" s="211"/>
      <c r="C13" s="211"/>
    </row>
    <row r="14" spans="1:3" s="42" customFormat="1" ht="15.75" customHeight="1" x14ac:dyDescent="0.2">
      <c r="A14" s="213"/>
      <c r="B14" s="213"/>
      <c r="C14" s="213"/>
    </row>
    <row r="15" spans="1:3" s="43" customFormat="1" ht="44.25" customHeight="1" x14ac:dyDescent="0.2">
      <c r="A15" s="212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2"/>
      <c r="C15" s="212"/>
    </row>
    <row r="16" spans="1:3" s="43" customFormat="1" ht="15" customHeight="1" x14ac:dyDescent="0.2">
      <c r="A16" s="211" t="s">
        <v>2</v>
      </c>
      <c r="B16" s="211"/>
      <c r="C16" s="211"/>
    </row>
    <row r="17" spans="1:3" s="43" customFormat="1" ht="9" customHeight="1" x14ac:dyDescent="0.2">
      <c r="A17" s="215"/>
      <c r="B17" s="215"/>
      <c r="C17" s="215"/>
    </row>
    <row r="18" spans="1:3" s="43" customFormat="1" ht="27.75" customHeight="1" x14ac:dyDescent="0.2">
      <c r="A18" s="237" t="s">
        <v>271</v>
      </c>
      <c r="B18" s="237"/>
      <c r="C18" s="237"/>
    </row>
    <row r="19" spans="1:3" s="43" customFormat="1" ht="9" customHeight="1" x14ac:dyDescent="0.2">
      <c r="A19" s="74"/>
      <c r="B19" s="74"/>
      <c r="C19" s="74"/>
    </row>
    <row r="20" spans="1:3" s="43" customFormat="1" ht="24.75" customHeight="1" x14ac:dyDescent="0.2">
      <c r="A20" s="121" t="s">
        <v>1</v>
      </c>
      <c r="B20" s="113" t="s">
        <v>55</v>
      </c>
      <c r="C20" s="112" t="s">
        <v>54</v>
      </c>
    </row>
    <row r="21" spans="1:3" s="43" customFormat="1" ht="16.5" customHeight="1" x14ac:dyDescent="0.2">
      <c r="A21" s="112">
        <v>1</v>
      </c>
      <c r="B21" s="113">
        <v>2</v>
      </c>
      <c r="C21" s="112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493</v>
      </c>
    </row>
    <row r="23" spans="1:3" ht="63" customHeight="1" x14ac:dyDescent="0.25">
      <c r="A23" s="3" t="s">
        <v>52</v>
      </c>
      <c r="B23" s="122" t="s">
        <v>49</v>
      </c>
      <c r="C23" s="4" t="s">
        <v>494</v>
      </c>
    </row>
    <row r="24" spans="1:3" ht="31.5" x14ac:dyDescent="0.25">
      <c r="A24" s="3" t="s">
        <v>51</v>
      </c>
      <c r="B24" s="122" t="s">
        <v>281</v>
      </c>
      <c r="C24" s="121" t="s">
        <v>478</v>
      </c>
    </row>
    <row r="25" spans="1:3" ht="38.25" customHeight="1" x14ac:dyDescent="0.25">
      <c r="A25" s="3" t="s">
        <v>50</v>
      </c>
      <c r="B25" s="122" t="s">
        <v>282</v>
      </c>
      <c r="C25" s="4" t="s">
        <v>495</v>
      </c>
    </row>
    <row r="26" spans="1:3" ht="33" customHeight="1" x14ac:dyDescent="0.25">
      <c r="A26" s="3" t="s">
        <v>48</v>
      </c>
      <c r="B26" s="122" t="s">
        <v>166</v>
      </c>
      <c r="C26" s="121" t="s">
        <v>452</v>
      </c>
    </row>
    <row r="27" spans="1:3" ht="15.75" x14ac:dyDescent="0.25">
      <c r="A27" s="3" t="s">
        <v>47</v>
      </c>
      <c r="B27" s="122" t="s">
        <v>276</v>
      </c>
      <c r="C27" s="121" t="s">
        <v>479</v>
      </c>
    </row>
    <row r="28" spans="1:3" ht="27.75" customHeight="1" x14ac:dyDescent="0.25">
      <c r="A28" s="3" t="s">
        <v>45</v>
      </c>
      <c r="B28" s="122" t="s">
        <v>46</v>
      </c>
      <c r="C28" s="65">
        <v>2021</v>
      </c>
    </row>
    <row r="29" spans="1:3" ht="22.5" customHeight="1" x14ac:dyDescent="0.25">
      <c r="A29" s="3" t="s">
        <v>43</v>
      </c>
      <c r="B29" s="121" t="s">
        <v>44</v>
      </c>
      <c r="C29" s="65">
        <v>2024</v>
      </c>
    </row>
    <row r="30" spans="1:3" ht="24.75" customHeight="1" x14ac:dyDescent="0.25">
      <c r="A30" s="3" t="s">
        <v>61</v>
      </c>
      <c r="B30" s="121" t="s">
        <v>42</v>
      </c>
      <c r="C30" s="78" t="s">
        <v>496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05" t="str">
        <f>'1. паспорт местоположение'!$A$5</f>
        <v>Год раскрытия информации: 2024 год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</row>
    <row r="5" spans="1:28" s="2" customFormat="1" ht="15.75" x14ac:dyDescent="0.2">
      <c r="A5" s="28"/>
    </row>
    <row r="6" spans="1:28" s="2" customFormat="1" ht="18.75" x14ac:dyDescent="0.2">
      <c r="A6" s="209" t="s">
        <v>5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</row>
    <row r="7" spans="1:28" s="2" customFormat="1" ht="18.75" x14ac:dyDescent="0.2">
      <c r="A7" s="209"/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</row>
    <row r="8" spans="1:28" s="2" customFormat="1" ht="18.75" customHeight="1" x14ac:dyDescent="0.2">
      <c r="A8" s="210" t="s">
        <v>309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8" s="2" customFormat="1" ht="18.75" customHeight="1" x14ac:dyDescent="0.2">
      <c r="A9" s="211" t="s">
        <v>4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211"/>
      <c r="R9" s="211"/>
      <c r="S9" s="211"/>
      <c r="T9" s="211"/>
    </row>
    <row r="10" spans="1:28" s="2" customFormat="1" ht="18.75" x14ac:dyDescent="0.2">
      <c r="A10" s="209"/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</row>
    <row r="11" spans="1:28" s="2" customFormat="1" ht="18.75" customHeight="1" x14ac:dyDescent="0.2">
      <c r="A11" s="210" t="str">
        <f>'1. паспорт местоположение'!A12:C12</f>
        <v>M_Che426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8" s="2" customFormat="1" ht="18.75" customHeight="1" x14ac:dyDescent="0.2">
      <c r="A12" s="211" t="s">
        <v>3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</row>
    <row r="13" spans="1:28" s="42" customFormat="1" ht="15.75" customHeight="1" x14ac:dyDescent="0.2">
      <c r="A13" s="21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8" s="43" customFormat="1" ht="37.5" customHeight="1" x14ac:dyDescent="0.2">
      <c r="A14" s="212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8" s="43" customFormat="1" ht="15" customHeight="1" x14ac:dyDescent="0.2">
      <c r="A15" s="211" t="s">
        <v>2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</row>
    <row r="16" spans="1:28" x14ac:dyDescent="0.25">
      <c r="A16" s="239"/>
      <c r="B16" s="239"/>
      <c r="C16" s="239"/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39"/>
      <c r="P16" s="239"/>
      <c r="Q16" s="239"/>
      <c r="R16" s="239"/>
      <c r="S16" s="239"/>
      <c r="T16" s="239"/>
      <c r="U16" s="239"/>
      <c r="V16" s="239"/>
      <c r="W16" s="239"/>
      <c r="X16" s="239"/>
      <c r="Y16" s="239"/>
      <c r="Z16" s="239"/>
      <c r="AA16" s="51"/>
      <c r="AB16" s="51"/>
    </row>
    <row r="17" spans="1:28" x14ac:dyDescent="0.25">
      <c r="A17" s="239"/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39"/>
      <c r="Q17" s="239"/>
      <c r="R17" s="239"/>
      <c r="S17" s="239"/>
      <c r="T17" s="239"/>
      <c r="U17" s="239"/>
      <c r="V17" s="239"/>
      <c r="W17" s="239"/>
      <c r="X17" s="239"/>
      <c r="Y17" s="239"/>
      <c r="Z17" s="239"/>
      <c r="AA17" s="51"/>
      <c r="AB17" s="51"/>
    </row>
    <row r="18" spans="1:28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9"/>
      <c r="Z18" s="239"/>
      <c r="AA18" s="51"/>
      <c r="AB18" s="51"/>
    </row>
    <row r="19" spans="1:28" x14ac:dyDescent="0.25">
      <c r="A19" s="239"/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39"/>
      <c r="U19" s="239"/>
      <c r="V19" s="239"/>
      <c r="W19" s="239"/>
      <c r="X19" s="239"/>
      <c r="Y19" s="239"/>
      <c r="Z19" s="239"/>
      <c r="AA19" s="51"/>
      <c r="AB19" s="51"/>
    </row>
    <row r="20" spans="1:28" x14ac:dyDescent="0.25">
      <c r="A20" s="239"/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  <c r="M20" s="239"/>
      <c r="N20" s="239"/>
      <c r="O20" s="239"/>
      <c r="P20" s="239"/>
      <c r="Q20" s="239"/>
      <c r="R20" s="239"/>
      <c r="S20" s="239"/>
      <c r="T20" s="239"/>
      <c r="U20" s="239"/>
      <c r="V20" s="239"/>
      <c r="W20" s="239"/>
      <c r="X20" s="239"/>
      <c r="Y20" s="239"/>
      <c r="Z20" s="239"/>
      <c r="AA20" s="51"/>
      <c r="AB20" s="51"/>
    </row>
    <row r="21" spans="1:28" x14ac:dyDescent="0.25">
      <c r="A21" s="239"/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39"/>
      <c r="U21" s="239"/>
      <c r="V21" s="239"/>
      <c r="W21" s="239"/>
      <c r="X21" s="239"/>
      <c r="Y21" s="239"/>
      <c r="Z21" s="239"/>
      <c r="AA21" s="51"/>
      <c r="AB21" s="51"/>
    </row>
    <row r="22" spans="1:28" x14ac:dyDescent="0.25">
      <c r="A22" s="244" t="s">
        <v>373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53"/>
      <c r="AB22" s="53"/>
    </row>
    <row r="23" spans="1:28" ht="32.25" customHeight="1" x14ac:dyDescent="0.25">
      <c r="A23" s="240" t="s">
        <v>374</v>
      </c>
      <c r="B23" s="241"/>
      <c r="C23" s="241"/>
      <c r="D23" s="241"/>
      <c r="E23" s="241"/>
      <c r="F23" s="241"/>
      <c r="G23" s="241"/>
      <c r="H23" s="241"/>
      <c r="I23" s="241"/>
      <c r="J23" s="241"/>
      <c r="K23" s="241"/>
      <c r="L23" s="242"/>
      <c r="M23" s="243" t="s">
        <v>375</v>
      </c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</row>
    <row r="24" spans="1:28" ht="151.5" customHeight="1" x14ac:dyDescent="0.25">
      <c r="A24" s="114" t="s">
        <v>376</v>
      </c>
      <c r="B24" s="115" t="s">
        <v>377</v>
      </c>
      <c r="C24" s="114" t="s">
        <v>378</v>
      </c>
      <c r="D24" s="114" t="s">
        <v>379</v>
      </c>
      <c r="E24" s="114" t="s">
        <v>380</v>
      </c>
      <c r="F24" s="114" t="s">
        <v>400</v>
      </c>
      <c r="G24" s="114" t="s">
        <v>401</v>
      </c>
      <c r="H24" s="114" t="s">
        <v>381</v>
      </c>
      <c r="I24" s="114" t="s">
        <v>402</v>
      </c>
      <c r="J24" s="114" t="s">
        <v>382</v>
      </c>
      <c r="K24" s="115" t="s">
        <v>383</v>
      </c>
      <c r="L24" s="115" t="s">
        <v>384</v>
      </c>
      <c r="M24" s="116" t="s">
        <v>385</v>
      </c>
      <c r="N24" s="115" t="s">
        <v>403</v>
      </c>
      <c r="O24" s="114" t="s">
        <v>404</v>
      </c>
      <c r="P24" s="114" t="s">
        <v>405</v>
      </c>
      <c r="Q24" s="114" t="s">
        <v>406</v>
      </c>
      <c r="R24" s="114" t="s">
        <v>381</v>
      </c>
      <c r="S24" s="114" t="s">
        <v>407</v>
      </c>
      <c r="T24" s="114" t="s">
        <v>408</v>
      </c>
      <c r="U24" s="114" t="s">
        <v>409</v>
      </c>
      <c r="V24" s="114" t="s">
        <v>406</v>
      </c>
      <c r="W24" s="117" t="s">
        <v>410</v>
      </c>
      <c r="X24" s="117" t="s">
        <v>411</v>
      </c>
      <c r="Y24" s="117" t="s">
        <v>412</v>
      </c>
      <c r="Z24" s="54" t="s">
        <v>386</v>
      </c>
    </row>
    <row r="25" spans="1:28" ht="16.5" customHeight="1" x14ac:dyDescent="0.25">
      <c r="A25" s="114">
        <v>1</v>
      </c>
      <c r="B25" s="115">
        <v>2</v>
      </c>
      <c r="C25" s="114">
        <v>3</v>
      </c>
      <c r="D25" s="115">
        <v>4</v>
      </c>
      <c r="E25" s="114">
        <v>5</v>
      </c>
      <c r="F25" s="115">
        <v>6</v>
      </c>
      <c r="G25" s="114">
        <v>7</v>
      </c>
      <c r="H25" s="115">
        <v>8</v>
      </c>
      <c r="I25" s="114">
        <v>9</v>
      </c>
      <c r="J25" s="115">
        <v>10</v>
      </c>
      <c r="K25" s="114">
        <v>11</v>
      </c>
      <c r="L25" s="115">
        <v>12</v>
      </c>
      <c r="M25" s="114">
        <v>13</v>
      </c>
      <c r="N25" s="115">
        <v>14</v>
      </c>
      <c r="O25" s="114">
        <v>15</v>
      </c>
      <c r="P25" s="115">
        <v>16</v>
      </c>
      <c r="Q25" s="114">
        <v>17</v>
      </c>
      <c r="R25" s="115">
        <v>18</v>
      </c>
      <c r="S25" s="114">
        <v>19</v>
      </c>
      <c r="T25" s="115">
        <v>20</v>
      </c>
      <c r="U25" s="114">
        <v>21</v>
      </c>
      <c r="V25" s="115">
        <v>22</v>
      </c>
      <c r="W25" s="114">
        <v>23</v>
      </c>
      <c r="X25" s="115">
        <v>24</v>
      </c>
      <c r="Y25" s="114">
        <v>25</v>
      </c>
      <c r="Z25" s="115">
        <v>26</v>
      </c>
    </row>
    <row r="26" spans="1:28" ht="45.75" customHeight="1" x14ac:dyDescent="0.25">
      <c r="A26" s="16" t="s">
        <v>387</v>
      </c>
      <c r="B26" s="16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8"/>
      <c r="L26" s="55" t="s">
        <v>388</v>
      </c>
      <c r="M26" s="56" t="s">
        <v>299</v>
      </c>
      <c r="N26" s="118" t="s">
        <v>301</v>
      </c>
      <c r="O26" s="118" t="s">
        <v>301</v>
      </c>
      <c r="P26" s="118" t="s">
        <v>301</v>
      </c>
      <c r="Q26" s="118" t="s">
        <v>301</v>
      </c>
      <c r="R26" s="118" t="s">
        <v>301</v>
      </c>
      <c r="S26" s="118" t="s">
        <v>301</v>
      </c>
      <c r="T26" s="118" t="s">
        <v>301</v>
      </c>
      <c r="U26" s="118" t="s">
        <v>301</v>
      </c>
      <c r="V26" s="118" t="s">
        <v>301</v>
      </c>
      <c r="W26" s="118" t="s">
        <v>301</v>
      </c>
      <c r="X26" s="118" t="s">
        <v>301</v>
      </c>
      <c r="Y26" s="118" t="s">
        <v>301</v>
      </c>
      <c r="Z26" s="119" t="s">
        <v>389</v>
      </c>
    </row>
    <row r="27" spans="1:28" x14ac:dyDescent="0.25">
      <c r="A27" s="118" t="s">
        <v>390</v>
      </c>
      <c r="B27" s="118" t="s">
        <v>391</v>
      </c>
      <c r="C27" s="118" t="s">
        <v>301</v>
      </c>
      <c r="D27" s="118" t="s">
        <v>301</v>
      </c>
      <c r="E27" s="118" t="s">
        <v>301</v>
      </c>
      <c r="F27" s="118" t="s">
        <v>301</v>
      </c>
      <c r="G27" s="118" t="s">
        <v>301</v>
      </c>
      <c r="H27" s="118" t="s">
        <v>301</v>
      </c>
      <c r="I27" s="118" t="s">
        <v>301</v>
      </c>
      <c r="J27" s="118" t="s">
        <v>301</v>
      </c>
      <c r="K27" s="55" t="s">
        <v>392</v>
      </c>
      <c r="L27" s="118" t="s">
        <v>301</v>
      </c>
      <c r="M27" s="55" t="s">
        <v>300</v>
      </c>
      <c r="N27" s="118" t="s">
        <v>301</v>
      </c>
      <c r="O27" s="118" t="s">
        <v>301</v>
      </c>
      <c r="P27" s="118" t="s">
        <v>301</v>
      </c>
      <c r="Q27" s="118" t="s">
        <v>301</v>
      </c>
      <c r="R27" s="118" t="s">
        <v>301</v>
      </c>
      <c r="S27" s="118" t="s">
        <v>301</v>
      </c>
      <c r="T27" s="118" t="s">
        <v>301</v>
      </c>
      <c r="U27" s="118" t="s">
        <v>301</v>
      </c>
      <c r="V27" s="118" t="s">
        <v>301</v>
      </c>
      <c r="W27" s="118" t="s">
        <v>301</v>
      </c>
      <c r="X27" s="118" t="s">
        <v>301</v>
      </c>
      <c r="Y27" s="118" t="s">
        <v>301</v>
      </c>
      <c r="Z27" s="118" t="s">
        <v>301</v>
      </c>
    </row>
    <row r="28" spans="1:28" x14ac:dyDescent="0.25">
      <c r="A28" s="118" t="s">
        <v>390</v>
      </c>
      <c r="B28" s="118" t="s">
        <v>393</v>
      </c>
      <c r="C28" s="118" t="s">
        <v>301</v>
      </c>
      <c r="D28" s="118" t="s">
        <v>301</v>
      </c>
      <c r="E28" s="118" t="s">
        <v>301</v>
      </c>
      <c r="F28" s="118" t="s">
        <v>301</v>
      </c>
      <c r="G28" s="118" t="s">
        <v>301</v>
      </c>
      <c r="H28" s="118" t="s">
        <v>301</v>
      </c>
      <c r="I28" s="118" t="s">
        <v>301</v>
      </c>
      <c r="J28" s="118" t="s">
        <v>301</v>
      </c>
      <c r="K28" s="55" t="s">
        <v>394</v>
      </c>
      <c r="L28" s="118" t="s">
        <v>301</v>
      </c>
      <c r="M28" s="55" t="s">
        <v>395</v>
      </c>
      <c r="N28" s="118" t="s">
        <v>301</v>
      </c>
      <c r="O28" s="118" t="s">
        <v>301</v>
      </c>
      <c r="P28" s="118" t="s">
        <v>301</v>
      </c>
      <c r="Q28" s="118" t="s">
        <v>301</v>
      </c>
      <c r="R28" s="118" t="s">
        <v>301</v>
      </c>
      <c r="S28" s="118" t="s">
        <v>301</v>
      </c>
      <c r="T28" s="118" t="s">
        <v>301</v>
      </c>
      <c r="U28" s="118" t="s">
        <v>301</v>
      </c>
      <c r="V28" s="118" t="s">
        <v>301</v>
      </c>
      <c r="W28" s="118" t="s">
        <v>301</v>
      </c>
      <c r="X28" s="118" t="s">
        <v>301</v>
      </c>
      <c r="Y28" s="118" t="s">
        <v>301</v>
      </c>
      <c r="Z28" s="118" t="s">
        <v>301</v>
      </c>
    </row>
    <row r="29" spans="1:28" x14ac:dyDescent="0.25">
      <c r="A29" s="118" t="s">
        <v>390</v>
      </c>
      <c r="B29" s="118" t="s">
        <v>396</v>
      </c>
      <c r="C29" s="118" t="s">
        <v>301</v>
      </c>
      <c r="D29" s="118" t="s">
        <v>301</v>
      </c>
      <c r="E29" s="118" t="s">
        <v>301</v>
      </c>
      <c r="F29" s="118" t="s">
        <v>301</v>
      </c>
      <c r="G29" s="118" t="s">
        <v>301</v>
      </c>
      <c r="H29" s="118" t="s">
        <v>301</v>
      </c>
      <c r="I29" s="118" t="s">
        <v>301</v>
      </c>
      <c r="J29" s="118" t="s">
        <v>301</v>
      </c>
      <c r="K29" s="55" t="s">
        <v>397</v>
      </c>
      <c r="L29" s="118" t="s">
        <v>301</v>
      </c>
      <c r="M29" s="118" t="s">
        <v>301</v>
      </c>
      <c r="N29" s="118" t="s">
        <v>301</v>
      </c>
      <c r="O29" s="118" t="s">
        <v>301</v>
      </c>
      <c r="P29" s="118" t="s">
        <v>301</v>
      </c>
      <c r="Q29" s="118" t="s">
        <v>301</v>
      </c>
      <c r="R29" s="118" t="s">
        <v>301</v>
      </c>
      <c r="S29" s="118" t="s">
        <v>301</v>
      </c>
      <c r="T29" s="118" t="s">
        <v>301</v>
      </c>
      <c r="U29" s="118" t="s">
        <v>301</v>
      </c>
      <c r="V29" s="118" t="s">
        <v>301</v>
      </c>
      <c r="W29" s="118" t="s">
        <v>301</v>
      </c>
      <c r="X29" s="118" t="s">
        <v>301</v>
      </c>
      <c r="Y29" s="118" t="s">
        <v>301</v>
      </c>
      <c r="Z29" s="118" t="s">
        <v>301</v>
      </c>
    </row>
    <row r="30" spans="1:28" x14ac:dyDescent="0.25">
      <c r="A30" s="118" t="s">
        <v>390</v>
      </c>
      <c r="B30" s="118" t="s">
        <v>398</v>
      </c>
      <c r="C30" s="118" t="s">
        <v>301</v>
      </c>
      <c r="D30" s="118" t="s">
        <v>301</v>
      </c>
      <c r="E30" s="118" t="s">
        <v>301</v>
      </c>
      <c r="F30" s="118" t="s">
        <v>301</v>
      </c>
      <c r="G30" s="118" t="s">
        <v>301</v>
      </c>
      <c r="H30" s="118" t="s">
        <v>301</v>
      </c>
      <c r="I30" s="118" t="s">
        <v>301</v>
      </c>
      <c r="J30" s="118" t="s">
        <v>301</v>
      </c>
      <c r="K30" s="55" t="s">
        <v>399</v>
      </c>
      <c r="L30" s="118" t="s">
        <v>301</v>
      </c>
      <c r="M30" s="118" t="s">
        <v>301</v>
      </c>
      <c r="N30" s="118" t="s">
        <v>301</v>
      </c>
      <c r="O30" s="118" t="s">
        <v>301</v>
      </c>
      <c r="P30" s="118" t="s">
        <v>301</v>
      </c>
      <c r="Q30" s="118" t="s">
        <v>301</v>
      </c>
      <c r="R30" s="118" t="s">
        <v>301</v>
      </c>
      <c r="S30" s="118" t="s">
        <v>301</v>
      </c>
      <c r="T30" s="118" t="s">
        <v>301</v>
      </c>
      <c r="U30" s="118" t="s">
        <v>301</v>
      </c>
      <c r="V30" s="118" t="s">
        <v>301</v>
      </c>
      <c r="W30" s="118" t="s">
        <v>301</v>
      </c>
      <c r="X30" s="118" t="s">
        <v>301</v>
      </c>
      <c r="Y30" s="118" t="s">
        <v>301</v>
      </c>
      <c r="Z30" s="118" t="s">
        <v>301</v>
      </c>
    </row>
    <row r="31" spans="1:28" x14ac:dyDescent="0.25">
      <c r="A31" s="118" t="s">
        <v>395</v>
      </c>
      <c r="B31" s="118" t="s">
        <v>395</v>
      </c>
      <c r="C31" s="118" t="s">
        <v>395</v>
      </c>
      <c r="D31" s="118" t="s">
        <v>395</v>
      </c>
      <c r="E31" s="118" t="s">
        <v>395</v>
      </c>
      <c r="F31" s="118" t="s">
        <v>395</v>
      </c>
      <c r="G31" s="118" t="s">
        <v>395</v>
      </c>
      <c r="H31" s="118" t="s">
        <v>395</v>
      </c>
      <c r="I31" s="118" t="s">
        <v>395</v>
      </c>
      <c r="J31" s="118" t="s">
        <v>395</v>
      </c>
      <c r="K31" s="118" t="s">
        <v>395</v>
      </c>
      <c r="L31" s="118" t="s">
        <v>301</v>
      </c>
      <c r="M31" s="118" t="s">
        <v>301</v>
      </c>
      <c r="N31" s="118" t="s">
        <v>301</v>
      </c>
      <c r="O31" s="118" t="s">
        <v>301</v>
      </c>
      <c r="P31" s="118" t="s">
        <v>301</v>
      </c>
      <c r="Q31" s="118" t="s">
        <v>301</v>
      </c>
      <c r="R31" s="118" t="s">
        <v>301</v>
      </c>
      <c r="S31" s="118" t="s">
        <v>301</v>
      </c>
      <c r="T31" s="118" t="s">
        <v>301</v>
      </c>
      <c r="U31" s="118" t="s">
        <v>301</v>
      </c>
      <c r="V31" s="118" t="s">
        <v>301</v>
      </c>
      <c r="W31" s="118" t="s">
        <v>301</v>
      </c>
      <c r="X31" s="118" t="s">
        <v>301</v>
      </c>
      <c r="Y31" s="118" t="s">
        <v>301</v>
      </c>
      <c r="Z31" s="118" t="s">
        <v>301</v>
      </c>
    </row>
    <row r="32" spans="1:28" ht="30" x14ac:dyDescent="0.25">
      <c r="A32" s="16" t="s">
        <v>387</v>
      </c>
      <c r="B32" s="16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8"/>
      <c r="L32" s="118" t="s">
        <v>301</v>
      </c>
      <c r="M32" s="118" t="s">
        <v>301</v>
      </c>
      <c r="N32" s="118" t="s">
        <v>301</v>
      </c>
      <c r="O32" s="118" t="s">
        <v>301</v>
      </c>
      <c r="P32" s="118" t="s">
        <v>301</v>
      </c>
      <c r="Q32" s="118" t="s">
        <v>301</v>
      </c>
      <c r="R32" s="118" t="s">
        <v>301</v>
      </c>
      <c r="S32" s="118" t="s">
        <v>301</v>
      </c>
      <c r="T32" s="118" t="s">
        <v>301</v>
      </c>
      <c r="U32" s="118" t="s">
        <v>301</v>
      </c>
      <c r="V32" s="118" t="s">
        <v>301</v>
      </c>
      <c r="W32" s="118" t="s">
        <v>301</v>
      </c>
      <c r="X32" s="118" t="s">
        <v>301</v>
      </c>
      <c r="Y32" s="118" t="s">
        <v>301</v>
      </c>
      <c r="Z32" s="118" t="s">
        <v>301</v>
      </c>
    </row>
    <row r="33" spans="1:26" x14ac:dyDescent="0.25">
      <c r="A33" s="118" t="s">
        <v>395</v>
      </c>
      <c r="B33" s="118" t="s">
        <v>395</v>
      </c>
      <c r="C33" s="118" t="s">
        <v>395</v>
      </c>
      <c r="D33" s="118" t="s">
        <v>395</v>
      </c>
      <c r="E33" s="118" t="s">
        <v>395</v>
      </c>
      <c r="F33" s="118" t="s">
        <v>395</v>
      </c>
      <c r="G33" s="118" t="s">
        <v>395</v>
      </c>
      <c r="H33" s="118" t="s">
        <v>395</v>
      </c>
      <c r="I33" s="118" t="s">
        <v>395</v>
      </c>
      <c r="J33" s="118" t="s">
        <v>395</v>
      </c>
      <c r="K33" s="118" t="s">
        <v>395</v>
      </c>
      <c r="L33" s="118" t="s">
        <v>301</v>
      </c>
      <c r="M33" s="118" t="s">
        <v>301</v>
      </c>
      <c r="N33" s="118" t="s">
        <v>301</v>
      </c>
      <c r="O33" s="118" t="s">
        <v>301</v>
      </c>
      <c r="P33" s="118" t="s">
        <v>301</v>
      </c>
      <c r="Q33" s="118" t="s">
        <v>301</v>
      </c>
      <c r="R33" s="118" t="s">
        <v>301</v>
      </c>
      <c r="S33" s="118" t="s">
        <v>301</v>
      </c>
      <c r="T33" s="118" t="s">
        <v>301</v>
      </c>
      <c r="U33" s="118" t="s">
        <v>301</v>
      </c>
      <c r="V33" s="118" t="s">
        <v>301</v>
      </c>
      <c r="W33" s="118" t="s">
        <v>301</v>
      </c>
      <c r="X33" s="118" t="s">
        <v>301</v>
      </c>
      <c r="Y33" s="118" t="s">
        <v>301</v>
      </c>
      <c r="Z33" s="118" t="s">
        <v>301</v>
      </c>
    </row>
    <row r="37" spans="1:26" x14ac:dyDescent="0.25">
      <c r="A37" s="120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05" t="str">
        <f>'1. паспорт местоположение'!$A$5</f>
        <v>Год раскрытия информации: 2024 год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</row>
    <row r="7" spans="1:20" s="2" customFormat="1" ht="15.75" x14ac:dyDescent="0.2">
      <c r="A7" s="28"/>
    </row>
    <row r="8" spans="1:20" s="2" customFormat="1" ht="18.75" x14ac:dyDescent="0.2">
      <c r="A8" s="209" t="s">
        <v>5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</row>
    <row r="9" spans="1:20" s="2" customFormat="1" ht="18.75" x14ac:dyDescent="0.2">
      <c r="A9" s="209"/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</row>
    <row r="10" spans="1:20" s="2" customFormat="1" ht="18.75" customHeight="1" x14ac:dyDescent="0.2">
      <c r="A10" s="210" t="s">
        <v>309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s="2" customFormat="1" ht="18.75" customHeight="1" x14ac:dyDescent="0.2">
      <c r="A11" s="211" t="s">
        <v>4</v>
      </c>
      <c r="B11" s="211"/>
      <c r="C11" s="211"/>
      <c r="D11" s="211"/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</row>
    <row r="12" spans="1:20" s="2" customFormat="1" ht="18.75" x14ac:dyDescent="0.2">
      <c r="A12" s="209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</row>
    <row r="13" spans="1:20" s="2" customFormat="1" ht="18.75" customHeight="1" x14ac:dyDescent="0.2">
      <c r="A13" s="210" t="str">
        <f>'1. паспорт местоположение'!A12:C12</f>
        <v>M_Che426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s="2" customFormat="1" ht="18.75" customHeight="1" x14ac:dyDescent="0.2">
      <c r="A14" s="211" t="s">
        <v>3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</row>
    <row r="15" spans="1:20" s="42" customFormat="1" ht="15.75" customHeight="1" x14ac:dyDescent="0.2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0" s="43" customFormat="1" ht="15.75" x14ac:dyDescent="0.2">
      <c r="A16" s="210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s="43" customFormat="1" ht="15" customHeight="1" x14ac:dyDescent="0.2">
      <c r="A17" s="211" t="s">
        <v>2</v>
      </c>
      <c r="B17" s="211"/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11"/>
      <c r="N17" s="211"/>
      <c r="O17" s="211"/>
      <c r="P17" s="211"/>
      <c r="Q17" s="211"/>
      <c r="R17" s="211"/>
      <c r="S17" s="211"/>
      <c r="T17" s="211"/>
    </row>
    <row r="18" spans="1:20" ht="96" customHeight="1" x14ac:dyDescent="0.25">
      <c r="A18" s="245" t="s">
        <v>427</v>
      </c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</row>
    <row r="19" spans="1:20" ht="15.75" customHeight="1" x14ac:dyDescent="0.25">
      <c r="A19" s="214" t="s">
        <v>1</v>
      </c>
      <c r="B19" s="214" t="s">
        <v>428</v>
      </c>
      <c r="C19" s="214" t="s">
        <v>429</v>
      </c>
      <c r="D19" s="214" t="s">
        <v>430</v>
      </c>
      <c r="E19" s="246" t="s">
        <v>431</v>
      </c>
      <c r="F19" s="247"/>
      <c r="G19" s="247"/>
      <c r="H19" s="247"/>
      <c r="I19" s="248"/>
      <c r="J19" s="246" t="s">
        <v>432</v>
      </c>
      <c r="K19" s="247"/>
      <c r="L19" s="247"/>
      <c r="M19" s="247"/>
      <c r="N19" s="247"/>
      <c r="O19" s="248"/>
    </row>
    <row r="20" spans="1:20" ht="123" customHeight="1" x14ac:dyDescent="0.25">
      <c r="A20" s="214"/>
      <c r="B20" s="214"/>
      <c r="C20" s="214"/>
      <c r="D20" s="214"/>
      <c r="E20" s="109" t="s">
        <v>433</v>
      </c>
      <c r="F20" s="109" t="s">
        <v>434</v>
      </c>
      <c r="G20" s="109" t="s">
        <v>435</v>
      </c>
      <c r="H20" s="109" t="s">
        <v>436</v>
      </c>
      <c r="I20" s="109" t="s">
        <v>64</v>
      </c>
      <c r="J20" s="109" t="s">
        <v>437</v>
      </c>
      <c r="K20" s="109" t="s">
        <v>438</v>
      </c>
      <c r="L20" s="110" t="s">
        <v>439</v>
      </c>
      <c r="M20" s="111" t="s">
        <v>440</v>
      </c>
      <c r="N20" s="111" t="s">
        <v>441</v>
      </c>
      <c r="O20" s="111" t="s">
        <v>442</v>
      </c>
    </row>
    <row r="21" spans="1:20" ht="15.75" x14ac:dyDescent="0.25">
      <c r="A21" s="112">
        <v>1</v>
      </c>
      <c r="B21" s="113">
        <v>2</v>
      </c>
      <c r="C21" s="112">
        <v>3</v>
      </c>
      <c r="D21" s="113">
        <v>4</v>
      </c>
      <c r="E21" s="112">
        <v>5</v>
      </c>
      <c r="F21" s="113">
        <v>6</v>
      </c>
      <c r="G21" s="112">
        <v>7</v>
      </c>
      <c r="H21" s="113">
        <v>8</v>
      </c>
      <c r="I21" s="112">
        <v>9</v>
      </c>
      <c r="J21" s="113">
        <v>10</v>
      </c>
      <c r="K21" s="112">
        <v>11</v>
      </c>
      <c r="L21" s="113">
        <v>12</v>
      </c>
      <c r="M21" s="112">
        <v>13</v>
      </c>
      <c r="N21" s="113">
        <v>14</v>
      </c>
      <c r="O21" s="112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13" sqref="A13:F1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05" t="str">
        <f>'1. паспорт местоположение'!$A$5</f>
        <v>Год раскрытия информации: 2024 год</v>
      </c>
      <c r="B5" s="205"/>
      <c r="C5" s="205"/>
      <c r="D5" s="205"/>
      <c r="E5" s="205"/>
      <c r="F5" s="205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09" t="s">
        <v>5</v>
      </c>
      <c r="B7" s="209"/>
      <c r="C7" s="209"/>
      <c r="D7" s="209"/>
      <c r="E7" s="209"/>
      <c r="F7" s="209"/>
    </row>
    <row r="8" spans="1:6" ht="18.75" x14ac:dyDescent="0.25">
      <c r="A8" s="68"/>
      <c r="B8" s="68"/>
      <c r="C8" s="68"/>
      <c r="D8" s="68"/>
      <c r="E8" s="68"/>
      <c r="F8" s="68"/>
    </row>
    <row r="9" spans="1:6" ht="15.75" x14ac:dyDescent="0.25">
      <c r="A9" s="210" t="s">
        <v>287</v>
      </c>
      <c r="B9" s="210"/>
      <c r="C9" s="210"/>
      <c r="D9" s="210"/>
      <c r="E9" s="210"/>
      <c r="F9" s="210"/>
    </row>
    <row r="10" spans="1:6" ht="15.75" x14ac:dyDescent="0.25">
      <c r="A10" s="211" t="s">
        <v>4</v>
      </c>
      <c r="B10" s="211"/>
      <c r="C10" s="211"/>
      <c r="D10" s="211"/>
      <c r="E10" s="211"/>
      <c r="F10" s="211"/>
    </row>
    <row r="11" spans="1:6" ht="18.75" x14ac:dyDescent="0.25">
      <c r="A11" s="68"/>
      <c r="B11" s="68"/>
      <c r="C11" s="68"/>
      <c r="D11" s="68"/>
      <c r="E11" s="68"/>
      <c r="F11" s="68"/>
    </row>
    <row r="12" spans="1:6" ht="15.75" x14ac:dyDescent="0.25">
      <c r="A12" s="210" t="str">
        <f>'1. паспорт местоположение'!A12:C12</f>
        <v>M_Che426</v>
      </c>
      <c r="B12" s="210"/>
      <c r="C12" s="210"/>
      <c r="D12" s="210"/>
      <c r="E12" s="210"/>
      <c r="F12" s="210"/>
    </row>
    <row r="13" spans="1:6" ht="15.75" x14ac:dyDescent="0.25">
      <c r="A13" s="211" t="s">
        <v>3</v>
      </c>
      <c r="B13" s="211"/>
      <c r="C13" s="211"/>
      <c r="D13" s="211"/>
      <c r="E13" s="211"/>
      <c r="F13" s="211"/>
    </row>
    <row r="14" spans="1:6" ht="18.75" x14ac:dyDescent="0.25">
      <c r="A14" s="69"/>
      <c r="B14" s="69"/>
      <c r="C14" s="69"/>
      <c r="D14" s="69"/>
      <c r="E14" s="69"/>
      <c r="F14" s="69"/>
    </row>
    <row r="15" spans="1:6" ht="61.5" customHeight="1" x14ac:dyDescent="0.25">
      <c r="A15" s="212" t="str">
        <f>'1. паспорт местоположение'!A15:C15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2"/>
      <c r="C15" s="212"/>
      <c r="D15" s="212"/>
      <c r="E15" s="212"/>
      <c r="F15" s="212"/>
    </row>
    <row r="16" spans="1:6" ht="15.75" x14ac:dyDescent="0.25">
      <c r="A16" s="211" t="s">
        <v>2</v>
      </c>
      <c r="B16" s="211"/>
      <c r="C16" s="211"/>
      <c r="D16" s="211"/>
      <c r="E16" s="211"/>
      <c r="F16" s="211"/>
    </row>
    <row r="17" spans="1:6" ht="18.75" x14ac:dyDescent="0.25">
      <c r="A17" s="67"/>
      <c r="B17" s="67"/>
      <c r="C17" s="67"/>
      <c r="D17" s="67"/>
      <c r="E17" s="67"/>
      <c r="F17" s="67"/>
    </row>
    <row r="18" spans="1:6" ht="18.75" x14ac:dyDescent="0.25">
      <c r="A18" s="221" t="s">
        <v>291</v>
      </c>
      <c r="B18" s="221"/>
      <c r="C18" s="221"/>
      <c r="D18" s="221"/>
      <c r="E18" s="221"/>
      <c r="F18" s="221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52" t="s">
        <v>292</v>
      </c>
      <c r="C21" s="253"/>
      <c r="D21" s="253"/>
      <c r="E21" s="254"/>
      <c r="F21" s="31"/>
    </row>
    <row r="22" spans="1:6" ht="15.75" x14ac:dyDescent="0.25">
      <c r="A22" s="31"/>
      <c r="B22" s="249" t="s">
        <v>293</v>
      </c>
      <c r="C22" s="250"/>
      <c r="D22" s="250" t="s">
        <v>294</v>
      </c>
      <c r="E22" s="251"/>
      <c r="F22" s="31"/>
    </row>
    <row r="23" spans="1:6" ht="63" x14ac:dyDescent="0.25">
      <c r="A23" s="31"/>
      <c r="B23" s="103" t="s">
        <v>295</v>
      </c>
      <c r="C23" s="175" t="s">
        <v>467</v>
      </c>
      <c r="D23" s="104" t="s">
        <v>296</v>
      </c>
      <c r="E23" s="105" t="s">
        <v>297</v>
      </c>
      <c r="F23" s="31"/>
    </row>
    <row r="24" spans="1:6" ht="15.75" x14ac:dyDescent="0.25">
      <c r="A24" s="31"/>
      <c r="B24" s="106">
        <v>-131.07146672485001</v>
      </c>
      <c r="C24" s="107">
        <v>0.15</v>
      </c>
      <c r="D24" s="108">
        <v>14</v>
      </c>
      <c r="E24" s="108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opLeftCell="A46" zoomScale="70" zoomScaleNormal="70" zoomScaleSheetLayoutView="55" workbookViewId="0">
      <selection activeCell="G46" sqref="G46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05" t="str">
        <f>'1. паспорт местоположение'!$A$5</f>
        <v>Год раскрытия информации: 2024 год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09" t="s">
        <v>5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  <c r="L7" s="209"/>
    </row>
    <row r="8" spans="1:44" ht="18.75" x14ac:dyDescent="0.25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</row>
    <row r="9" spans="1:44" x14ac:dyDescent="0.25">
      <c r="A9" s="210" t="str">
        <f>'3.3 паспорт описание'!A9:C9</f>
        <v>АО "Чеченэнерго"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</row>
    <row r="10" spans="1:44" x14ac:dyDescent="0.25">
      <c r="A10" s="211" t="s">
        <v>4</v>
      </c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</row>
    <row r="11" spans="1:44" x14ac:dyDescent="0.25">
      <c r="A11" s="238"/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238"/>
    </row>
    <row r="12" spans="1:44" x14ac:dyDescent="0.25">
      <c r="A12" s="210" t="str">
        <f>'3.3 паспорт описание'!A12:C12</f>
        <v>M_Che426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</row>
    <row r="13" spans="1:44" x14ac:dyDescent="0.25">
      <c r="A13" s="211" t="s">
        <v>3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44" ht="18.7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</row>
    <row r="15" spans="1:44" ht="30" customHeight="1" x14ac:dyDescent="0.25">
      <c r="A15" s="212" t="str">
        <f>'3.3 паспорт описание'!A15:C15</f>
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</row>
    <row r="16" spans="1:44" x14ac:dyDescent="0.25">
      <c r="A16" s="211" t="s">
        <v>2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</row>
    <row r="17" spans="1:12" ht="15.75" customHeight="1" x14ac:dyDescent="0.25">
      <c r="L17" s="71"/>
    </row>
    <row r="18" spans="1:12" x14ac:dyDescent="0.25">
      <c r="K18" s="6"/>
    </row>
    <row r="19" spans="1:12" ht="15.75" customHeight="1" x14ac:dyDescent="0.25">
      <c r="A19" s="266" t="s">
        <v>273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</row>
    <row r="20" spans="1:12" x14ac:dyDescent="0.25">
      <c r="A20" s="72"/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58" t="s">
        <v>158</v>
      </c>
      <c r="B21" s="258" t="s">
        <v>157</v>
      </c>
      <c r="C21" s="261" t="s">
        <v>219</v>
      </c>
      <c r="D21" s="262"/>
      <c r="E21" s="262"/>
      <c r="F21" s="262"/>
      <c r="G21" s="262"/>
      <c r="H21" s="263"/>
      <c r="I21" s="255" t="s">
        <v>156</v>
      </c>
      <c r="J21" s="255" t="s">
        <v>221</v>
      </c>
      <c r="K21" s="258" t="s">
        <v>155</v>
      </c>
      <c r="L21" s="267" t="s">
        <v>220</v>
      </c>
    </row>
    <row r="22" spans="1:12" ht="58.5" customHeight="1" x14ac:dyDescent="0.25">
      <c r="A22" s="259"/>
      <c r="B22" s="259"/>
      <c r="C22" s="264" t="s">
        <v>0</v>
      </c>
      <c r="D22" s="265"/>
      <c r="E22" s="19"/>
      <c r="F22" s="20"/>
      <c r="G22" s="264" t="s">
        <v>7</v>
      </c>
      <c r="H22" s="265"/>
      <c r="I22" s="256"/>
      <c r="J22" s="256"/>
      <c r="K22" s="259"/>
      <c r="L22" s="268"/>
    </row>
    <row r="23" spans="1:12" ht="34.5" customHeight="1" x14ac:dyDescent="0.25">
      <c r="A23" s="260"/>
      <c r="B23" s="260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57"/>
      <c r="J23" s="257"/>
      <c r="K23" s="260"/>
      <c r="L23" s="269"/>
    </row>
    <row r="24" spans="1:12" x14ac:dyDescent="0.25">
      <c r="A24" s="144">
        <v>1</v>
      </c>
      <c r="B24" s="144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45">
        <v>1</v>
      </c>
      <c r="B25" s="101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45" t="s">
        <v>151</v>
      </c>
      <c r="B26" s="4" t="s">
        <v>226</v>
      </c>
      <c r="C26" s="180">
        <v>44294</v>
      </c>
      <c r="D26" s="180">
        <v>44294</v>
      </c>
      <c r="E26" s="38" t="s">
        <v>288</v>
      </c>
      <c r="F26" s="38" t="s">
        <v>288</v>
      </c>
      <c r="G26" s="180">
        <v>44294</v>
      </c>
      <c r="H26" s="180">
        <v>44294</v>
      </c>
      <c r="I26" s="39">
        <v>1</v>
      </c>
      <c r="J26" s="39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45" t="s">
        <v>150</v>
      </c>
      <c r="B27" s="4" t="s">
        <v>228</v>
      </c>
      <c r="C27" s="180" t="s">
        <v>301</v>
      </c>
      <c r="D27" s="180" t="s">
        <v>301</v>
      </c>
      <c r="E27" s="38" t="s">
        <v>288</v>
      </c>
      <c r="F27" s="38" t="s">
        <v>288</v>
      </c>
      <c r="G27" s="180" t="s">
        <v>301</v>
      </c>
      <c r="H27" s="180" t="s">
        <v>301</v>
      </c>
      <c r="I27" s="39" t="s">
        <v>301</v>
      </c>
      <c r="J27" s="39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45" t="s">
        <v>227</v>
      </c>
      <c r="B28" s="4" t="s">
        <v>232</v>
      </c>
      <c r="C28" s="180" t="s">
        <v>301</v>
      </c>
      <c r="D28" s="180" t="s">
        <v>301</v>
      </c>
      <c r="E28" s="38" t="s">
        <v>288</v>
      </c>
      <c r="F28" s="38" t="s">
        <v>288</v>
      </c>
      <c r="G28" s="180" t="s">
        <v>301</v>
      </c>
      <c r="H28" s="180" t="s">
        <v>301</v>
      </c>
      <c r="I28" s="39" t="s">
        <v>301</v>
      </c>
      <c r="J28" s="39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45" t="s">
        <v>149</v>
      </c>
      <c r="B29" s="4" t="s">
        <v>231</v>
      </c>
      <c r="C29" s="180" t="s">
        <v>301</v>
      </c>
      <c r="D29" s="180" t="s">
        <v>301</v>
      </c>
      <c r="E29" s="38" t="s">
        <v>288</v>
      </c>
      <c r="F29" s="38" t="s">
        <v>288</v>
      </c>
      <c r="G29" s="180" t="s">
        <v>301</v>
      </c>
      <c r="H29" s="180" t="s">
        <v>301</v>
      </c>
      <c r="I29" s="39" t="s">
        <v>301</v>
      </c>
      <c r="J29" s="39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45" t="s">
        <v>148</v>
      </c>
      <c r="B30" s="4" t="s">
        <v>233</v>
      </c>
      <c r="C30" s="180" t="s">
        <v>301</v>
      </c>
      <c r="D30" s="180" t="s">
        <v>301</v>
      </c>
      <c r="E30" s="34"/>
      <c r="F30" s="34"/>
      <c r="G30" s="180" t="s">
        <v>301</v>
      </c>
      <c r="H30" s="180" t="s">
        <v>301</v>
      </c>
      <c r="I30" s="39" t="s">
        <v>301</v>
      </c>
      <c r="J30" s="39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45" t="s">
        <v>147</v>
      </c>
      <c r="B31" s="102" t="s">
        <v>229</v>
      </c>
      <c r="C31" s="180">
        <v>44407</v>
      </c>
      <c r="D31" s="180">
        <v>44407</v>
      </c>
      <c r="E31" s="34"/>
      <c r="F31" s="34"/>
      <c r="G31" s="180">
        <v>44407</v>
      </c>
      <c r="H31" s="180">
        <v>44407</v>
      </c>
      <c r="I31" s="39">
        <v>1</v>
      </c>
      <c r="J31" s="39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45" t="s">
        <v>145</v>
      </c>
      <c r="B32" s="102" t="s">
        <v>234</v>
      </c>
      <c r="C32" s="180">
        <v>44419</v>
      </c>
      <c r="D32" s="180">
        <v>44419</v>
      </c>
      <c r="E32" s="34"/>
      <c r="F32" s="34"/>
      <c r="G32" s="180">
        <v>44419</v>
      </c>
      <c r="H32" s="180">
        <v>44419</v>
      </c>
      <c r="I32" s="39">
        <v>1</v>
      </c>
      <c r="J32" s="39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45" t="s">
        <v>245</v>
      </c>
      <c r="B33" s="102" t="s">
        <v>172</v>
      </c>
      <c r="C33" s="152">
        <v>44476</v>
      </c>
      <c r="D33" s="152">
        <v>44476</v>
      </c>
      <c r="E33" s="34"/>
      <c r="F33" s="34"/>
      <c r="G33" s="152">
        <v>44476</v>
      </c>
      <c r="H33" s="152">
        <v>44476</v>
      </c>
      <c r="I33" s="39">
        <v>1</v>
      </c>
      <c r="J33" s="39" t="s">
        <v>301</v>
      </c>
      <c r="K33" s="39" t="s">
        <v>301</v>
      </c>
      <c r="L33" s="39" t="s">
        <v>301</v>
      </c>
    </row>
    <row r="34" spans="1:12" s="37" customFormat="1" ht="47.25" customHeight="1" x14ac:dyDescent="0.25">
      <c r="A34" s="145" t="s">
        <v>246</v>
      </c>
      <c r="B34" s="102" t="s">
        <v>238</v>
      </c>
      <c r="C34" s="180" t="s">
        <v>288</v>
      </c>
      <c r="D34" s="180" t="s">
        <v>288</v>
      </c>
      <c r="E34" s="38" t="s">
        <v>288</v>
      </c>
      <c r="F34" s="38" t="s">
        <v>288</v>
      </c>
      <c r="G34" s="180" t="s">
        <v>288</v>
      </c>
      <c r="H34" s="180" t="s">
        <v>288</v>
      </c>
      <c r="I34" s="39" t="s">
        <v>301</v>
      </c>
      <c r="J34" s="39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45" t="s">
        <v>247</v>
      </c>
      <c r="B35" s="102" t="s">
        <v>146</v>
      </c>
      <c r="C35" s="180">
        <v>44547</v>
      </c>
      <c r="D35" s="180">
        <v>44547</v>
      </c>
      <c r="E35" s="40"/>
      <c r="F35" s="40"/>
      <c r="G35" s="180">
        <v>44547</v>
      </c>
      <c r="H35" s="180">
        <v>44547</v>
      </c>
      <c r="I35" s="39">
        <v>1</v>
      </c>
      <c r="J35" s="39" t="s">
        <v>301</v>
      </c>
      <c r="K35" s="39" t="s">
        <v>301</v>
      </c>
      <c r="L35" s="39" t="s">
        <v>301</v>
      </c>
    </row>
    <row r="36" spans="1:12" s="36" customFormat="1" ht="37.5" customHeight="1" x14ac:dyDescent="0.25">
      <c r="A36" s="145" t="s">
        <v>248</v>
      </c>
      <c r="B36" s="102" t="s">
        <v>230</v>
      </c>
      <c r="C36" s="180">
        <v>44880</v>
      </c>
      <c r="D36" s="180">
        <v>44895</v>
      </c>
      <c r="E36" s="38">
        <v>42884</v>
      </c>
      <c r="F36" s="38">
        <v>42884</v>
      </c>
      <c r="G36" s="180">
        <v>44880</v>
      </c>
      <c r="H36" s="180">
        <v>44895</v>
      </c>
      <c r="I36" s="39">
        <v>1</v>
      </c>
      <c r="J36" s="39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45" t="s">
        <v>249</v>
      </c>
      <c r="B37" s="102" t="s">
        <v>144</v>
      </c>
      <c r="C37" s="151">
        <v>44407</v>
      </c>
      <c r="D37" s="151">
        <v>44419</v>
      </c>
      <c r="E37" s="41"/>
      <c r="F37" s="40"/>
      <c r="G37" s="151">
        <f>G31</f>
        <v>44407</v>
      </c>
      <c r="H37" s="151">
        <f>H32</f>
        <v>44419</v>
      </c>
      <c r="I37" s="39">
        <v>1</v>
      </c>
      <c r="J37" s="39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45" t="s">
        <v>250</v>
      </c>
      <c r="B38" s="101" t="s">
        <v>143</v>
      </c>
      <c r="C38" s="180"/>
      <c r="D38" s="180"/>
      <c r="E38" s="4"/>
      <c r="F38" s="4"/>
      <c r="G38" s="180"/>
      <c r="H38" s="180"/>
      <c r="I38" s="180"/>
      <c r="J38" s="180"/>
      <c r="K38" s="180"/>
      <c r="L38" s="180"/>
    </row>
    <row r="39" spans="1:12" s="36" customFormat="1" ht="78.75" x14ac:dyDescent="0.25">
      <c r="A39" s="145">
        <v>2</v>
      </c>
      <c r="B39" s="102" t="s">
        <v>235</v>
      </c>
      <c r="C39" s="152">
        <v>44907</v>
      </c>
      <c r="D39" s="152">
        <v>44907</v>
      </c>
      <c r="E39" s="4"/>
      <c r="F39" s="4"/>
      <c r="G39" s="152">
        <v>44907</v>
      </c>
      <c r="H39" s="152">
        <v>44907</v>
      </c>
      <c r="I39" s="39">
        <v>1</v>
      </c>
      <c r="J39" s="39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45" t="s">
        <v>142</v>
      </c>
      <c r="B40" s="102" t="s">
        <v>237</v>
      </c>
      <c r="C40" s="152">
        <v>44915</v>
      </c>
      <c r="D40" s="152">
        <v>44946</v>
      </c>
      <c r="E40" s="4"/>
      <c r="F40" s="4"/>
      <c r="G40" s="152">
        <v>44915</v>
      </c>
      <c r="H40" s="152">
        <v>44946</v>
      </c>
      <c r="I40" s="39">
        <v>1</v>
      </c>
      <c r="J40" s="39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45" t="s">
        <v>141</v>
      </c>
      <c r="B41" s="101" t="s">
        <v>286</v>
      </c>
      <c r="C41" s="180"/>
      <c r="D41" s="180"/>
      <c r="E41" s="4"/>
      <c r="F41" s="4"/>
      <c r="G41" s="180"/>
      <c r="H41" s="180"/>
      <c r="I41" s="39" t="s">
        <v>301</v>
      </c>
      <c r="J41" s="39" t="s">
        <v>301</v>
      </c>
      <c r="K41" s="4"/>
      <c r="L41" s="4"/>
    </row>
    <row r="42" spans="1:12" s="36" customFormat="1" ht="58.5" customHeight="1" x14ac:dyDescent="0.25">
      <c r="A42" s="145">
        <v>3</v>
      </c>
      <c r="B42" s="102" t="s">
        <v>236</v>
      </c>
      <c r="C42" s="152">
        <v>44905</v>
      </c>
      <c r="D42" s="152">
        <v>44915</v>
      </c>
      <c r="E42" s="4"/>
      <c r="F42" s="4"/>
      <c r="G42" s="152">
        <v>44905</v>
      </c>
      <c r="H42" s="152">
        <v>44915</v>
      </c>
      <c r="I42" s="39">
        <v>1</v>
      </c>
      <c r="J42" s="39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45" t="s">
        <v>140</v>
      </c>
      <c r="B43" s="102" t="s">
        <v>138</v>
      </c>
      <c r="C43" s="152">
        <v>44946</v>
      </c>
      <c r="D43" s="152">
        <v>45366</v>
      </c>
      <c r="E43" s="4"/>
      <c r="F43" s="4"/>
      <c r="G43" s="152">
        <v>44946</v>
      </c>
      <c r="H43" s="39" t="s">
        <v>301</v>
      </c>
      <c r="I43" s="39" t="s">
        <v>301</v>
      </c>
      <c r="J43" s="39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45" t="s">
        <v>139</v>
      </c>
      <c r="B44" s="102" t="s">
        <v>136</v>
      </c>
      <c r="C44" s="152">
        <v>44995</v>
      </c>
      <c r="D44" s="152">
        <v>45209</v>
      </c>
      <c r="E44" s="4"/>
      <c r="F44" s="4"/>
      <c r="G44" s="152">
        <v>44995</v>
      </c>
      <c r="H44" s="39" t="s">
        <v>301</v>
      </c>
      <c r="I44" s="39" t="s">
        <v>301</v>
      </c>
      <c r="J44" s="39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45" t="s">
        <v>137</v>
      </c>
      <c r="B45" s="102" t="s">
        <v>241</v>
      </c>
      <c r="C45" s="180">
        <v>45209</v>
      </c>
      <c r="D45" s="152">
        <v>45376</v>
      </c>
      <c r="E45" s="38" t="s">
        <v>288</v>
      </c>
      <c r="F45" s="38" t="s">
        <v>288</v>
      </c>
      <c r="G45" s="39" t="s">
        <v>301</v>
      </c>
      <c r="H45" s="39" t="s">
        <v>301</v>
      </c>
      <c r="I45" s="39" t="s">
        <v>301</v>
      </c>
      <c r="J45" s="39" t="s">
        <v>301</v>
      </c>
      <c r="K45" s="39" t="s">
        <v>301</v>
      </c>
      <c r="L45" s="39" t="s">
        <v>301</v>
      </c>
    </row>
    <row r="46" spans="1:12" s="36" customFormat="1" ht="167.25" customHeight="1" x14ac:dyDescent="0.25">
      <c r="A46" s="145" t="s">
        <v>135</v>
      </c>
      <c r="B46" s="102" t="s">
        <v>239</v>
      </c>
      <c r="C46" s="180" t="s">
        <v>288</v>
      </c>
      <c r="D46" s="180" t="s">
        <v>288</v>
      </c>
      <c r="E46" s="38" t="s">
        <v>288</v>
      </c>
      <c r="F46" s="38" t="s">
        <v>288</v>
      </c>
      <c r="G46" s="39" t="s">
        <v>301</v>
      </c>
      <c r="H46" s="39" t="s">
        <v>301</v>
      </c>
      <c r="I46" s="39" t="s">
        <v>301</v>
      </c>
      <c r="J46" s="39" t="s">
        <v>301</v>
      </c>
      <c r="K46" s="39" t="s">
        <v>301</v>
      </c>
      <c r="L46" s="39" t="s">
        <v>301</v>
      </c>
    </row>
    <row r="47" spans="1:12" s="36" customFormat="1" ht="30.75" customHeight="1" x14ac:dyDescent="0.25">
      <c r="A47" s="145" t="s">
        <v>133</v>
      </c>
      <c r="B47" s="102" t="s">
        <v>134</v>
      </c>
      <c r="C47" s="152">
        <v>45376</v>
      </c>
      <c r="D47" s="152">
        <v>45384</v>
      </c>
      <c r="E47" s="4"/>
      <c r="F47" s="4"/>
      <c r="G47" s="39" t="s">
        <v>301</v>
      </c>
      <c r="H47" s="39" t="s">
        <v>301</v>
      </c>
      <c r="I47" s="39" t="s">
        <v>301</v>
      </c>
      <c r="J47" s="39" t="s">
        <v>301</v>
      </c>
      <c r="K47" s="39" t="s">
        <v>301</v>
      </c>
      <c r="L47" s="39" t="s">
        <v>301</v>
      </c>
    </row>
    <row r="48" spans="1:12" s="36" customFormat="1" ht="37.5" customHeight="1" x14ac:dyDescent="0.25">
      <c r="A48" s="145" t="s">
        <v>251</v>
      </c>
      <c r="B48" s="101" t="s">
        <v>132</v>
      </c>
      <c r="C48" s="180"/>
      <c r="D48" s="180"/>
      <c r="E48" s="4"/>
      <c r="F48" s="4"/>
      <c r="G48" s="39" t="s">
        <v>301</v>
      </c>
      <c r="H48" s="39" t="s">
        <v>301</v>
      </c>
      <c r="I48" s="39" t="s">
        <v>301</v>
      </c>
      <c r="J48" s="39" t="s">
        <v>301</v>
      </c>
      <c r="K48" s="4"/>
      <c r="L48" s="4"/>
    </row>
    <row r="49" spans="1:12" s="36" customFormat="1" ht="35.25" customHeight="1" x14ac:dyDescent="0.25">
      <c r="A49" s="145">
        <v>4</v>
      </c>
      <c r="B49" s="102" t="s">
        <v>130</v>
      </c>
      <c r="C49" s="152">
        <v>45385</v>
      </c>
      <c r="D49" s="152">
        <v>45389</v>
      </c>
      <c r="E49" s="4"/>
      <c r="F49" s="4"/>
      <c r="G49" s="39" t="s">
        <v>301</v>
      </c>
      <c r="H49" s="39" t="s">
        <v>301</v>
      </c>
      <c r="I49" s="39" t="s">
        <v>301</v>
      </c>
      <c r="J49" s="39" t="s">
        <v>301</v>
      </c>
      <c r="K49" s="39" t="s">
        <v>301</v>
      </c>
      <c r="L49" s="39" t="s">
        <v>301</v>
      </c>
    </row>
    <row r="50" spans="1:12" s="36" customFormat="1" ht="86.25" customHeight="1" x14ac:dyDescent="0.25">
      <c r="A50" s="145" t="s">
        <v>131</v>
      </c>
      <c r="B50" s="102" t="s">
        <v>240</v>
      </c>
      <c r="C50" s="152">
        <v>45390</v>
      </c>
      <c r="D50" s="152">
        <v>45390</v>
      </c>
      <c r="E50" s="39" t="s">
        <v>301</v>
      </c>
      <c r="F50" s="39" t="s">
        <v>301</v>
      </c>
      <c r="G50" s="39" t="s">
        <v>301</v>
      </c>
      <c r="H50" s="39" t="s">
        <v>301</v>
      </c>
      <c r="I50" s="39" t="s">
        <v>301</v>
      </c>
      <c r="J50" s="39" t="s">
        <v>301</v>
      </c>
      <c r="K50" s="39" t="s">
        <v>301</v>
      </c>
      <c r="L50" s="39" t="s">
        <v>301</v>
      </c>
    </row>
    <row r="51" spans="1:12" s="36" customFormat="1" ht="77.25" customHeight="1" x14ac:dyDescent="0.25">
      <c r="A51" s="145" t="s">
        <v>129</v>
      </c>
      <c r="B51" s="102" t="s">
        <v>242</v>
      </c>
      <c r="C51" s="152">
        <v>45383</v>
      </c>
      <c r="D51" s="152">
        <v>45383</v>
      </c>
      <c r="E51" s="38" t="s">
        <v>288</v>
      </c>
      <c r="F51" s="38" t="s">
        <v>288</v>
      </c>
      <c r="G51" s="39" t="s">
        <v>301</v>
      </c>
      <c r="H51" s="39" t="s">
        <v>301</v>
      </c>
      <c r="I51" s="39" t="s">
        <v>301</v>
      </c>
      <c r="J51" s="39" t="s">
        <v>301</v>
      </c>
      <c r="K51" s="39" t="s">
        <v>301</v>
      </c>
      <c r="L51" s="39" t="s">
        <v>301</v>
      </c>
    </row>
    <row r="52" spans="1:12" s="36" customFormat="1" ht="71.25" customHeight="1" x14ac:dyDescent="0.25">
      <c r="A52" s="145" t="s">
        <v>127</v>
      </c>
      <c r="B52" s="102" t="s">
        <v>128</v>
      </c>
      <c r="C52" s="152">
        <v>45390</v>
      </c>
      <c r="D52" s="152">
        <v>45390</v>
      </c>
      <c r="E52" s="38" t="s">
        <v>288</v>
      </c>
      <c r="F52" s="38" t="s">
        <v>288</v>
      </c>
      <c r="G52" s="39" t="s">
        <v>301</v>
      </c>
      <c r="H52" s="39" t="s">
        <v>301</v>
      </c>
      <c r="I52" s="39" t="s">
        <v>301</v>
      </c>
      <c r="J52" s="39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45" t="s">
        <v>125</v>
      </c>
      <c r="B53" s="36" t="s">
        <v>243</v>
      </c>
      <c r="C53" s="152">
        <v>45390</v>
      </c>
      <c r="D53" s="152">
        <v>45390</v>
      </c>
      <c r="E53" s="39" t="s">
        <v>301</v>
      </c>
      <c r="F53" s="39" t="s">
        <v>301</v>
      </c>
      <c r="G53" s="39" t="s">
        <v>301</v>
      </c>
      <c r="H53" s="39" t="s">
        <v>301</v>
      </c>
      <c r="I53" s="39" t="s">
        <v>301</v>
      </c>
      <c r="J53" s="39" t="s">
        <v>301</v>
      </c>
      <c r="K53" s="39" t="s">
        <v>301</v>
      </c>
      <c r="L53" s="39" t="s">
        <v>301</v>
      </c>
    </row>
    <row r="54" spans="1:12" s="36" customFormat="1" ht="46.5" customHeight="1" x14ac:dyDescent="0.25">
      <c r="A54" s="145" t="s">
        <v>244</v>
      </c>
      <c r="B54" s="102" t="s">
        <v>126</v>
      </c>
      <c r="C54" s="39" t="s">
        <v>301</v>
      </c>
      <c r="D54" s="39" t="s">
        <v>301</v>
      </c>
      <c r="E54" s="4">
        <v>43458</v>
      </c>
      <c r="F54" s="4">
        <v>43458</v>
      </c>
      <c r="G54" s="39" t="s">
        <v>301</v>
      </c>
      <c r="H54" s="39" t="s">
        <v>301</v>
      </c>
      <c r="I54" s="39" t="s">
        <v>301</v>
      </c>
      <c r="J54" s="39" t="s">
        <v>301</v>
      </c>
      <c r="K54" s="39" t="s">
        <v>301</v>
      </c>
      <c r="L54" s="39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2024-07-31T11:25:07Z</dcterms:modified>
</cp:coreProperties>
</file>