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ТП'!$A$1:$S$23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сведения'!$A$1:$B$81</definedName>
  </definedNames>
  <calcPr calcId="162913"/>
</workbook>
</file>

<file path=xl/calcChain.xml><?xml version="1.0" encoding="utf-8"?>
<calcChain xmlns="http://schemas.openxmlformats.org/spreadsheetml/2006/main">
  <c r="A5" i="7" l="1"/>
  <c r="C56" i="22" l="1"/>
  <c r="C58" i="22"/>
  <c r="B29" i="22"/>
  <c r="B33" i="22" l="1"/>
  <c r="D37" i="16" l="1"/>
  <c r="C37" i="16"/>
  <c r="H37" i="16" l="1"/>
  <c r="G37" i="16"/>
  <c r="H23" i="24" l="1"/>
  <c r="AE25" i="5" l="1"/>
  <c r="AF25" i="5"/>
  <c r="AG25" i="5"/>
  <c r="AH25" i="5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23" l="1"/>
  <c r="A13" i="28"/>
  <c r="A11" i="27"/>
  <c r="A12" i="26"/>
  <c r="A13" i="25"/>
  <c r="H11" i="24" l="1"/>
  <c r="B52" i="22" l="1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12" i="16" l="1"/>
  <c r="A11" i="15" l="1"/>
  <c r="A12" i="5" l="1"/>
  <c r="A12" i="22"/>
  <c r="B51" i="22" l="1"/>
  <c r="B75" i="22" l="1"/>
  <c r="B22" i="22"/>
  <c r="C49" i="7" l="1"/>
  <c r="B23" i="22" l="1"/>
  <c r="C48" i="7" l="1"/>
  <c r="D22" i="24" l="1"/>
  <c r="B25" i="22" l="1"/>
  <c r="K64" i="15"/>
  <c r="G64" i="15"/>
  <c r="K62" i="15"/>
  <c r="G62" i="15"/>
  <c r="K60" i="15"/>
  <c r="G60" i="15"/>
  <c r="G56" i="15"/>
  <c r="G54" i="15"/>
  <c r="G52" i="15"/>
  <c r="G49" i="15"/>
  <c r="G47" i="15"/>
  <c r="G45" i="15"/>
  <c r="G42" i="15"/>
  <c r="G40" i="15"/>
  <c r="G38" i="15"/>
  <c r="G36" i="15"/>
  <c r="C34" i="15"/>
  <c r="G31" i="15"/>
  <c r="E31" i="15" s="1"/>
  <c r="H28" i="15"/>
  <c r="H27" i="15"/>
  <c r="G26" i="15"/>
  <c r="G24" i="15"/>
  <c r="G63" i="15"/>
  <c r="G61" i="15"/>
  <c r="G55" i="15"/>
  <c r="G48" i="15"/>
  <c r="G44" i="15"/>
  <c r="C32" i="15"/>
  <c r="G30" i="15"/>
  <c r="G29" i="15"/>
  <c r="J26" i="15"/>
  <c r="J63" i="15"/>
  <c r="D63" i="15" s="1"/>
  <c r="C55" i="15"/>
  <c r="J64" i="15"/>
  <c r="D64" i="15" s="1"/>
  <c r="J62" i="15"/>
  <c r="D62" i="15" s="1"/>
  <c r="J60" i="15"/>
  <c r="D60" i="15" s="1"/>
  <c r="C56" i="15"/>
  <c r="C54" i="15"/>
  <c r="C52" i="15"/>
  <c r="C49" i="15"/>
  <c r="C47" i="15"/>
  <c r="C45" i="15"/>
  <c r="C42" i="15"/>
  <c r="C40" i="15"/>
  <c r="C38" i="15"/>
  <c r="C36" i="15"/>
  <c r="G32" i="15"/>
  <c r="E32" i="15" s="1"/>
  <c r="C31" i="15"/>
  <c r="G28" i="15"/>
  <c r="G27" i="15"/>
  <c r="J25" i="15"/>
  <c r="K63" i="15"/>
  <c r="K61" i="15"/>
  <c r="G57" i="15"/>
  <c r="G53" i="15"/>
  <c r="G50" i="15"/>
  <c r="G46" i="15"/>
  <c r="G41" i="15"/>
  <c r="G39" i="15"/>
  <c r="G37" i="15"/>
  <c r="G33" i="15"/>
  <c r="E33" i="15" s="1"/>
  <c r="C30" i="15"/>
  <c r="H25" i="15"/>
  <c r="J61" i="15"/>
  <c r="D61" i="15" s="1"/>
  <c r="C57" i="15"/>
  <c r="C53" i="15"/>
  <c r="C50" i="15"/>
  <c r="C41" i="15"/>
  <c r="G34" i="15"/>
  <c r="E34" i="15" s="1"/>
  <c r="H26" i="15"/>
  <c r="C33" i="15"/>
  <c r="C46" i="15"/>
  <c r="C37" i="15"/>
  <c r="C39" i="15"/>
  <c r="C44" i="15"/>
  <c r="G25" i="15"/>
  <c r="D25" i="15" s="1"/>
  <c r="C48" i="15"/>
  <c r="E28" i="15" l="1"/>
  <c r="C28" i="15"/>
  <c r="K25" i="15"/>
  <c r="F25" i="15"/>
  <c r="E25" i="15" s="1"/>
  <c r="K26" i="15"/>
  <c r="F26" i="15"/>
  <c r="E26" i="15" s="1"/>
  <c r="C26" i="15"/>
  <c r="C25" i="15"/>
  <c r="E29" i="15"/>
  <c r="D26" i="15"/>
  <c r="A15" i="7" l="1"/>
  <c r="A15" i="6" l="1"/>
  <c r="A15" i="16" s="1"/>
  <c r="A14" i="15" s="1"/>
  <c r="A15" i="23"/>
  <c r="A16" i="25"/>
  <c r="A14" i="24"/>
  <c r="A15" i="26"/>
  <c r="A14" i="27"/>
  <c r="B21" i="22"/>
  <c r="A16" i="28"/>
  <c r="A15" i="22" l="1"/>
  <c r="A15" i="5"/>
  <c r="I30" i="15" l="1"/>
  <c r="K24" i="15" l="1"/>
  <c r="D24" i="15" l="1"/>
  <c r="B56" i="22" l="1"/>
  <c r="B27" i="22"/>
  <c r="B34" i="22" s="1"/>
  <c r="J24" i="15"/>
  <c r="J28" i="15"/>
  <c r="K28" i="15" l="1"/>
  <c r="D28" i="15"/>
  <c r="D56" i="22"/>
  <c r="B55" i="22"/>
  <c r="J27" i="15"/>
  <c r="K27" i="15" l="1"/>
  <c r="D27" i="15"/>
  <c r="J29" i="15"/>
  <c r="K29" i="15" l="1"/>
  <c r="D29" i="15"/>
  <c r="D55" i="15" l="1"/>
  <c r="D46" i="15"/>
  <c r="D38" i="15"/>
  <c r="D42" i="15"/>
  <c r="D57" i="15"/>
  <c r="D50" i="15"/>
  <c r="E30" i="15"/>
  <c r="F30" i="15"/>
  <c r="D52" i="15"/>
  <c r="I63" i="15"/>
  <c r="D30" i="15"/>
  <c r="B58" i="22" s="1"/>
  <c r="H30" i="15"/>
  <c r="E24" i="15" l="1"/>
  <c r="F24" i="15"/>
  <c r="F27" i="15" s="1"/>
  <c r="E27" i="15" s="1"/>
  <c r="D58" i="22"/>
  <c r="B57" i="22"/>
  <c r="D56" i="15"/>
  <c r="D39" i="15"/>
  <c r="D47" i="15"/>
  <c r="D37" i="15"/>
  <c r="D54" i="15"/>
  <c r="D45" i="15"/>
  <c r="I64" i="15"/>
  <c r="I61" i="15"/>
  <c r="H24" i="15"/>
  <c r="I62" i="15"/>
  <c r="I60" i="15"/>
  <c r="H61" i="15"/>
  <c r="C61" i="15" l="1"/>
  <c r="F61" i="15" s="1"/>
  <c r="E61" i="15" s="1"/>
  <c r="H62" i="15"/>
  <c r="C63" i="15"/>
  <c r="F63" i="15" s="1"/>
  <c r="E63" i="15" s="1"/>
  <c r="H60" i="15"/>
  <c r="C62" i="15"/>
  <c r="F62" i="15" s="1"/>
  <c r="E62" i="15" s="1"/>
  <c r="H63" i="15"/>
  <c r="I26" i="15"/>
  <c r="I28" i="15"/>
  <c r="H29" i="15"/>
  <c r="C24" i="15"/>
  <c r="C27" i="15" s="1"/>
  <c r="I27" i="15"/>
  <c r="I24" i="15"/>
  <c r="I25" i="15"/>
  <c r="C60" i="15"/>
  <c r="F60" i="15" s="1"/>
  <c r="E60" i="15" s="1"/>
  <c r="C64" i="15" l="1"/>
  <c r="F64" i="15" s="1"/>
  <c r="E64" i="15" s="1"/>
  <c r="H64" i="15"/>
  <c r="I29" i="15"/>
  <c r="C29" i="15"/>
  <c r="H47" i="15" l="1"/>
  <c r="F47" i="15" s="1"/>
  <c r="E47" i="15" s="1"/>
  <c r="H39" i="15"/>
  <c r="F39" i="15" s="1"/>
  <c r="E39" i="15" s="1"/>
  <c r="K49" i="15"/>
  <c r="K41" i="15"/>
  <c r="H48" i="15"/>
  <c r="F48" i="15" s="1"/>
  <c r="E48" i="15" s="1"/>
  <c r="H40" i="15"/>
  <c r="F40" i="15" s="1"/>
  <c r="E40" i="15" s="1"/>
  <c r="I40" i="15"/>
  <c r="I48" i="15"/>
  <c r="K40" i="15"/>
  <c r="K48" i="15"/>
  <c r="I39" i="15"/>
  <c r="I47" i="15"/>
  <c r="J40" i="15"/>
  <c r="J48" i="15"/>
  <c r="J49" i="15"/>
  <c r="J41" i="15"/>
  <c r="H41" i="15"/>
  <c r="F41" i="15" s="1"/>
  <c r="E41" i="15" s="1"/>
  <c r="H49" i="15"/>
  <c r="F49" i="15" s="1"/>
  <c r="E49" i="15" s="1"/>
  <c r="I49" i="15"/>
  <c r="I41" i="15"/>
  <c r="J47" i="15"/>
  <c r="J39" i="15"/>
  <c r="K39" i="15"/>
  <c r="K47" i="15"/>
  <c r="J31" i="15" l="1"/>
  <c r="K31" i="15" s="1"/>
  <c r="J34" i="15"/>
  <c r="K34" i="15" s="1"/>
  <c r="J30" i="15"/>
  <c r="K30" i="15"/>
  <c r="J33" i="15"/>
  <c r="K33" i="15" s="1"/>
  <c r="J32" i="15"/>
  <c r="K32" i="15" s="1"/>
  <c r="I52" i="15" l="1"/>
  <c r="J52" i="15"/>
  <c r="K52" i="15"/>
  <c r="H52" i="15"/>
  <c r="F52" i="15" s="1"/>
  <c r="E52" i="15" s="1"/>
  <c r="K56" i="15"/>
  <c r="H42" i="15"/>
  <c r="F42" i="15" s="1"/>
  <c r="E42" i="15" s="1"/>
  <c r="H56" i="15"/>
  <c r="F56" i="15" s="1"/>
  <c r="E56" i="15" s="1"/>
  <c r="I56" i="15"/>
  <c r="J56" i="15"/>
  <c r="I37" i="15" l="1"/>
  <c r="I45" i="15"/>
  <c r="I54" i="15"/>
  <c r="K44" i="15"/>
  <c r="K53" i="15"/>
  <c r="K36" i="15"/>
  <c r="I53" i="15"/>
  <c r="I44" i="15"/>
  <c r="I36" i="15"/>
  <c r="H54" i="15"/>
  <c r="F54" i="15" s="1"/>
  <c r="E54" i="15" s="1"/>
  <c r="H45" i="15"/>
  <c r="F45" i="15" s="1"/>
  <c r="E45" i="15" s="1"/>
  <c r="H37" i="15"/>
  <c r="F37" i="15" s="1"/>
  <c r="E37" i="15" s="1"/>
  <c r="K55" i="15"/>
  <c r="K38" i="15"/>
  <c r="K46" i="15"/>
  <c r="H38" i="15"/>
  <c r="F38" i="15" s="1"/>
  <c r="E38" i="15" s="1"/>
  <c r="H55" i="15"/>
  <c r="F55" i="15" s="1"/>
  <c r="E55" i="15" s="1"/>
  <c r="H46" i="15"/>
  <c r="F46" i="15" s="1"/>
  <c r="E46" i="15" s="1"/>
  <c r="J53" i="15"/>
  <c r="J44" i="15"/>
  <c r="J36" i="15"/>
  <c r="J57" i="15"/>
  <c r="J50" i="15"/>
  <c r="K37" i="15"/>
  <c r="K54" i="15"/>
  <c r="K45" i="15"/>
  <c r="K50" i="15"/>
  <c r="K57" i="15"/>
  <c r="I55" i="15"/>
  <c r="I46" i="15"/>
  <c r="I38" i="15"/>
  <c r="J38" i="15"/>
  <c r="J46" i="15"/>
  <c r="J55" i="15"/>
  <c r="I57" i="15"/>
  <c r="I50" i="15"/>
  <c r="H53" i="15"/>
  <c r="F53" i="15" s="1"/>
  <c r="E53" i="15" s="1"/>
  <c r="H44" i="15"/>
  <c r="F44" i="15" s="1"/>
  <c r="E44" i="15" s="1"/>
  <c r="H36" i="15"/>
  <c r="F36" i="15" s="1"/>
  <c r="E36" i="15" s="1"/>
  <c r="J54" i="15"/>
  <c r="J45" i="15"/>
  <c r="J37" i="15"/>
  <c r="H50" i="15"/>
  <c r="F50" i="15" s="1"/>
  <c r="E50" i="15" s="1"/>
  <c r="H57" i="15"/>
  <c r="F57" i="15" s="1"/>
  <c r="E57" i="15" s="1"/>
  <c r="J42" i="15"/>
  <c r="K42" i="15"/>
  <c r="I42" i="15"/>
</calcChain>
</file>

<file path=xl/sharedStrings.xml><?xml version="1.0" encoding="utf-8"?>
<sst xmlns="http://schemas.openxmlformats.org/spreadsheetml/2006/main" count="1230" uniqueCount="506">
  <si>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</si>
  <si>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</si>
  <si>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</si>
  <si>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</si>
  <si>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</si>
  <si>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</si>
  <si>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</si>
  <si>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</si>
  <si>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</si>
  <si>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</si>
  <si>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</si>
  <si>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</si>
  <si>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</si>
  <si>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</si>
  <si>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</si>
  <si>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</si>
  <si>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</si>
  <si>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</si>
  <si>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</si>
  <si>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</si>
  <si>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</si>
  <si>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</si>
  <si>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</si>
  <si>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</si>
  <si>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</si>
  <si>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</si>
  <si>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</si>
  <si>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</si>
  <si>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</si>
  <si>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</si>
  <si>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</si>
  <si>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</si>
  <si>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</si>
  <si>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</si>
  <si>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</si>
  <si>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</si>
  <si>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</si>
  <si>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</si>
  <si>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</si>
  <si>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</si>
  <si>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</si>
  <si>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</si>
  <si>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</si>
  <si>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</si>
  <si>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</si>
  <si>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</si>
  <si>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</si>
  <si>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</si>
  <si>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</si>
  <si>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</si>
  <si>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</si>
  <si>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</si>
  <si>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</si>
  <si>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</si>
  <si>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</si>
  <si>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</si>
  <si>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</si>
  <si>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</si>
  <si>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</si>
  <si>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</si>
  <si>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</si>
  <si>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</si>
  <si>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</si>
  <si>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</si>
  <si>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</si>
  <si>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</si>
  <si>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</si>
  <si>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</si>
  <si>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</si>
  <si>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</si>
  <si>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</si>
  <si>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</si>
  <si>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</si>
  <si>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</si>
  <si>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</si>
  <si>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</si>
  <si>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</si>
  <si>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</si>
  <si>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</si>
  <si>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</si>
  <si>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</si>
  <si>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</si>
  <si>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</si>
  <si>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</si>
  <si>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</si>
  <si>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</si>
  <si>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</si>
  <si>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</si>
  <si>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</si>
  <si>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</si>
  <si>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</si>
  <si>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</si>
  <si>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</si>
  <si>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</si>
  <si>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</si>
  <si>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</si>
  <si>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</si>
  <si>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</si>
  <si>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</si>
  <si>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</si>
  <si>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</si>
  <si>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</si>
  <si>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</si>
  <si>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</si>
  <si>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</si>
  <si>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</si>
  <si>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</si>
  <si>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</si>
  <si>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</si>
  <si>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</si>
  <si>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</si>
  <si>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</si>
  <si>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</si>
  <si>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</si>
  <si>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</si>
  <si>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</si>
  <si>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</si>
  <si>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</si>
  <si>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</si>
  <si>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</si>
  <si>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</si>
  <si>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</si>
  <si>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</si>
  <si>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</si>
  <si>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</si>
  <si>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</si>
  <si>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</si>
  <si>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</si>
  <si>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</si>
  <si>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</si>
  <si>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</si>
  <si>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</si>
  <si>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</si>
  <si>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</si>
  <si>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</si>
  <si>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</si>
  <si>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</si>
  <si>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</si>
  <si>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</si>
  <si>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</si>
  <si>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</si>
  <si>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</si>
  <si>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</si>
  <si>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</si>
  <si>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</si>
  <si>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</si>
  <si>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</si>
  <si>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</si>
  <si>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</si>
  <si>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</si>
  <si>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</si>
  <si>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</si>
  <si>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</si>
  <si>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</si>
  <si>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</si>
  <si>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</si>
  <si>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</si>
  <si>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</si>
  <si>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</si>
  <si>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</si>
  <si>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</si>
  <si>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</si>
  <si>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</si>
  <si>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</si>
  <si>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</si>
  <si>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</si>
  <si>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</si>
  <si>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</si>
  <si>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</si>
  <si>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</si>
  <si>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</si>
  <si>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</si>
  <si>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</si>
  <si>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</si>
  <si>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</si>
  <si>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</si>
  <si>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</si>
  <si>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</si>
  <si>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</si>
  <si>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</si>
  <si>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</si>
  <si>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</si>
  <si>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</si>
  <si>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</si>
  <si>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</si>
  <si>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</si>
  <si>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</si>
  <si>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</si>
  <si>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</si>
  <si>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</si>
  <si>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</si>
  <si>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</si>
  <si>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</si>
  <si>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</si>
  <si>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</si>
  <si>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</si>
  <si>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</si>
  <si>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</si>
  <si>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</si>
  <si>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</si>
  <si>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</si>
  <si>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</si>
  <si>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</si>
  <si>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</si>
  <si>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</si>
  <si>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</si>
  <si>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</si>
  <si>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</si>
  <si>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</si>
  <si>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</si>
  <si>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</si>
  <si>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</si>
  <si>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</si>
  <si>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</si>
  <si>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</si>
  <si>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</si>
  <si>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</si>
  <si>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</si>
  <si>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</si>
  <si>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</si>
  <si>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</si>
  <si>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</si>
  <si>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</si>
  <si>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</si>
  <si>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</si>
  <si>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</si>
  <si>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</si>
  <si>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</si>
  <si>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</si>
  <si>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</si>
  <si>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</si>
  <si>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</si>
  <si>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</si>
  <si>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</si>
  <si>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</si>
  <si>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</si>
  <si>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</si>
  <si>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</si>
  <si>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</si>
  <si>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</si>
  <si>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</si>
  <si>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</si>
  <si>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</si>
  <si>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</si>
  <si>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</si>
  <si>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</si>
  <si>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</si>
  <si>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</si>
  <si>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</si>
  <si>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</si>
  <si>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</si>
  <si>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</si>
  <si>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</si>
  <si>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</si>
  <si>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</si>
  <si>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</si>
  <si>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</si>
  <si>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</si>
  <si>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</si>
  <si>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</si>
  <si>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</si>
  <si>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</si>
  <si>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</si>
  <si>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</si>
  <si>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</si>
  <si>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</si>
  <si>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</si>
  <si>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</si>
  <si>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</si>
  <si>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</si>
  <si>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</si>
  <si>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</si>
  <si>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</si>
  <si>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</si>
  <si>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</si>
  <si>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</si>
  <si>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</si>
  <si>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</si>
  <si>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</si>
  <si>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</si>
  <si>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</si>
  <si>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</si>
  <si>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</si>
  <si>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</si>
  <si>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</si>
  <si>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</si>
  <si>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</si>
  <si>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</si>
  <si>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</si>
  <si>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</si>
  <si>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</si>
  <si>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</si>
  <si>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</si>
  <si>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</si>
  <si>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</si>
  <si>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</si>
  <si>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</si>
  <si>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</si>
  <si>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</si>
  <si>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</si>
  <si>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</si>
  <si>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</si>
  <si>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</si>
  <si>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</si>
  <si>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</si>
  <si>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</si>
  <si>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</si>
  <si>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</si>
  <si>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</si>
  <si>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</si>
  <si>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</si>
  <si>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</si>
  <si>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</si>
  <si>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</si>
  <si>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</si>
  <si>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</si>
  <si>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</si>
  <si>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</si>
  <si>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</si>
  <si>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</si>
  <si>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</si>
  <si>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</si>
  <si>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</si>
  <si>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</si>
  <si>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</si>
  <si>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</si>
  <si>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</si>
  <si>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</si>
  <si>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</si>
  <si>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</si>
  <si>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</si>
  <si>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</si>
  <si>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</si>
  <si>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</si>
  <si>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</si>
  <si>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</si>
  <si>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</si>
  <si>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</si>
  <si>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</si>
  <si>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</si>
  <si>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</si>
  <si>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</si>
  <si>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</si>
  <si>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</si>
  <si>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</si>
  <si>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</si>
  <si>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</si>
  <si>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</si>
  <si>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</si>
  <si>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</si>
  <si>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</si>
  <si>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</si>
  <si>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</si>
  <si>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</si>
  <si>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</si>
  <si>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</si>
  <si>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</si>
  <si>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</si>
  <si>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</si>
  <si>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</si>
  <si>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</si>
  <si>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</si>
  <si>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</si>
  <si>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</si>
  <si>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</si>
  <si>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</si>
  <si>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</si>
  <si>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</si>
  <si>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</si>
  <si>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</si>
  <si>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</si>
  <si>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</si>
  <si>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</si>
  <si>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</si>
  <si>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</si>
  <si>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</si>
  <si>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</si>
  <si>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</si>
  <si>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</si>
  <si>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</si>
  <si>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</si>
  <si>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</si>
  <si>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</si>
  <si>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</si>
  <si>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</si>
  <si>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</si>
  <si>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</si>
  <si>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</si>
  <si>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</si>
  <si>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</si>
  <si>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</si>
  <si>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</si>
  <si>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</si>
  <si>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</si>
  <si>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</si>
  <si>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</si>
  <si>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</si>
  <si>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</si>
  <si>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</si>
  <si>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</si>
  <si>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</si>
  <si>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</si>
  <si>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</si>
  <si>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</si>
  <si>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</si>
  <si>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</si>
  <si>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</si>
  <si>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</si>
  <si>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</si>
  <si>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</si>
  <si>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</si>
  <si>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</si>
  <si>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</si>
  <si>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</si>
  <si>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</si>
  <si>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</si>
  <si>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</si>
  <si>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</si>
  <si>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</si>
  <si>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</si>
  <si>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</si>
  <si>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</si>
  <si>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</si>
  <si>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</si>
  <si>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</si>
  <si>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</si>
  <si>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</si>
  <si>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</si>
  <si>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</si>
  <si>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</si>
  <si>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</si>
  <si>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</si>
  <si>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</si>
  <si>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</si>
  <si>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</si>
  <si>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</si>
  <si>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</si>
  <si>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</si>
  <si>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</si>
  <si>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</si>
  <si>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</si>
  <si>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</si>
  <si>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</si>
  <si>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</si>
  <si>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</si>
  <si>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</si>
  <si>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</si>
  <si>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</si>
  <si>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</si>
  <si>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</si>
  <si>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</si>
  <si>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</si>
  <si>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</si>
  <si>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</si>
  <si>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</si>
  <si>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</si>
  <si>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</si>
  <si>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</si>
  <si>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</si>
  <si>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</si>
  <si>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</si>
  <si>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</si>
  <si>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</si>
  <si>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линейная ячейка 10 кВ I и II СШ РУ-10 кВ проектируемой ПС 110 кВ Ведучи</t>
  </si>
  <si>
    <t>объем заключенного договора в ценах 2022 года с НДС, млн. руб.</t>
  </si>
  <si>
    <t>Факт 2023 года</t>
  </si>
  <si>
    <t xml:space="preserve"> по состоянию на 01.01.2023</t>
  </si>
  <si>
    <t>по состоянию на 01.01.2024</t>
  </si>
  <si>
    <t>O_Che475</t>
  </si>
  <si>
    <t>с. Ачхой-Мартан</t>
  </si>
  <si>
    <t>Реконструкция ПС 110 кВ Самашки с установкой двух дополнительных линейных ячеек на I и II СШ РУ-10 кВ с вакуумными выключателями</t>
  </si>
  <si>
    <t>Проект реализуется в целях исполнения обязательств по договору технологического присоединения №20384/2022/ЧЭ/АМРЭС 27.01.2023</t>
  </si>
  <si>
    <t>ПИР, СМР ("под ключ")</t>
  </si>
  <si>
    <t>ПАО "Россети Северный Кавказ"</t>
  </si>
  <si>
    <t>ССР</t>
  </si>
  <si>
    <t>ЗП</t>
  </si>
  <si>
    <t>ООО "СССК"</t>
  </si>
  <si>
    <t>нет</t>
  </si>
  <si>
    <t>rosseti.roseltorg.ru</t>
  </si>
  <si>
    <t>Закупка у ЕИ  не осуществлялась</t>
  </si>
  <si>
    <t>Договор заключен на реализацию двух объектов. Объем затрат по данному титулу составляет 13 051,53 тыс. руб. с НДС</t>
  </si>
  <si>
    <t>ООО "СССК" № 25-2023-ПК-ЧЭ от 10.11.2023г. Объем затрат по данному титулу составляет 13,05 тыс. руб. с НДС</t>
  </si>
  <si>
    <t>объем заключенного договора в ценах 2023 года с НДС, млн. руб.</t>
  </si>
  <si>
    <t xml:space="preserve">ООО "СССК" 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</si>
  <si>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</si>
  <si>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</si>
  <si>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</si>
  <si>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</si>
  <si>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Ачхой-Мартановский район</t>
  </si>
  <si>
    <t>местный</t>
  </si>
  <si>
    <t>Показатель максимальной мощности присоединяемых объектов по производству электрической энергии - 0,32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- 13,05 млн.руб.</t>
  </si>
  <si>
    <t>не предусмотрен</t>
  </si>
  <si>
    <t>не проводились</t>
  </si>
  <si>
    <t>№20384/2022/ЧЭ/АМРЭС 27.01.2023</t>
  </si>
  <si>
    <t>Ачхой-Мартановская СЭС</t>
  </si>
  <si>
    <t>Исполнение обязательств по договору технологического присоединения №20384/2022/ЧЭ/АМРЭС 27.01.2023</t>
  </si>
  <si>
    <t>Технологическое присоединение ООО "Хевел РГ" максимальной мощностью 0,32 МВт</t>
  </si>
  <si>
    <t>5,438 млн.руб./шт.</t>
  </si>
  <si>
    <t>п</t>
  </si>
  <si>
    <t>Проектирование</t>
  </si>
  <si>
    <t xml:space="preserve">2024 год </t>
  </si>
  <si>
    <t>Итого за год (нарастающим итогом)</t>
  </si>
  <si>
    <t>за текущий квартал</t>
  </si>
  <si>
    <t>реконсрукция</t>
  </si>
  <si>
    <t xml:space="preserve">ПИР, СМР </t>
  </si>
  <si>
    <t xml:space="preserve">                            №32312737371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</si>
</sst>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14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46" fillId="0" borderId="0" xfId="57" applyFont="1" applyFill="1" applyAlignment="1">
      <alignment vertical="center"/>
    </xf>
    <xf numFmtId="0" fontId="36" fillId="0" borderId="0" xfId="57" applyFont="1" applyFill="1" applyAlignment="1">
      <alignment vertical="center"/>
    </xf>
    <xf numFmtId="2" fontId="10" fillId="0" borderId="0" xfId="43" applyNumberFormat="1" applyFont="1" applyFill="1"/>
    <xf numFmtId="2" fontId="38" fillId="0" borderId="10" xfId="65" applyNumberFormat="1" applyFont="1" applyFill="1" applyBorder="1" applyAlignment="1">
      <alignment horizontal="justify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7" fillId="24" borderId="0" xfId="41" applyFont="1" applyFill="1" applyAlignment="1">
      <alignment horizontal="center" vertical="center"/>
    </xf>
    <xf numFmtId="0" fontId="34" fillId="0" borderId="10" xfId="53" applyFont="1" applyFill="1" applyBorder="1" applyAlignment="1">
      <alignment horizontal="center" vertical="center"/>
    </xf>
    <xf numFmtId="1" fontId="34" fillId="0" borderId="10" xfId="53" applyNumberFormat="1" applyFont="1" applyFill="1" applyBorder="1" applyAlignment="1">
      <alignment horizontal="left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43" applyFont="1" applyFill="1" applyBorder="1" applyAlignment="1">
      <alignment horizontal="center" vertical="center" wrapText="1"/>
    </xf>
    <xf numFmtId="2" fontId="58" fillId="0" borderId="21" xfId="57" applyNumberFormat="1" applyFont="1" applyFill="1" applyBorder="1" applyAlignment="1">
      <alignment horizontal="center" vertical="center" wrapText="1"/>
    </xf>
    <xf numFmtId="0" fontId="37" fillId="0" borderId="10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left" vertical="center"/>
    </xf>
    <xf numFmtId="0" fontId="37" fillId="0" borderId="10" xfId="41" applyFont="1" applyFill="1" applyBorder="1" applyAlignment="1">
      <alignment horizontal="center" vertical="center"/>
    </xf>
    <xf numFmtId="4" fontId="10" fillId="0" borderId="30" xfId="43" applyNumberFormat="1" applyFont="1" applyFill="1" applyBorder="1" applyAlignment="1">
      <alignment horizontal="center" vertical="center" wrapText="1"/>
    </xf>
    <xf numFmtId="9" fontId="10" fillId="0" borderId="31" xfId="65" applyFont="1" applyFill="1" applyBorder="1" applyAlignment="1">
      <alignment horizontal="center" vertical="center" wrapText="1"/>
    </xf>
    <xf numFmtId="3" fontId="10" fillId="0" borderId="31" xfId="43" applyNumberFormat="1" applyFont="1" applyFill="1" applyBorder="1" applyAlignment="1">
      <alignment horizontal="center" vertical="center" wrapText="1"/>
    </xf>
    <xf numFmtId="3" fontId="10" fillId="0" borderId="32" xfId="43" applyNumberFormat="1" applyFont="1" applyFill="1" applyBorder="1" applyAlignment="1">
      <alignment horizontal="center" vertical="center" wrapText="1"/>
    </xf>
    <xf numFmtId="49" fontId="37" fillId="25" borderId="10" xfId="53" applyNumberFormat="1" applyFont="1" applyFill="1" applyBorder="1" applyAlignment="1">
      <alignment horizontal="center" vertical="center" wrapText="1"/>
    </xf>
    <xf numFmtId="0" fontId="34" fillId="25" borderId="10" xfId="53" applyFont="1" applyFill="1" applyBorder="1" applyAlignment="1">
      <alignment vertical="center"/>
    </xf>
    <xf numFmtId="17" fontId="34" fillId="25" borderId="10" xfId="53" applyNumberFormat="1" applyFont="1" applyFill="1" applyBorder="1" applyAlignment="1">
      <alignment horizontal="center" vertical="center"/>
    </xf>
    <xf numFmtId="2" fontId="37" fillId="25" borderId="10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vertical="center"/>
    </xf>
    <xf numFmtId="0" fontId="39" fillId="0" borderId="14" xfId="43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2" fontId="10" fillId="0" borderId="33" xfId="43" applyNumberFormat="1" applyFont="1" applyFill="1" applyBorder="1" applyAlignment="1">
      <alignment horizontal="center" vertical="center" wrapText="1"/>
    </xf>
    <xf numFmtId="0" fontId="37" fillId="0" borderId="33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2" fillId="0" borderId="0" xfId="57" applyFont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6" fillId="0" borderId="0" xfId="57" applyFont="1" applyFill="1" applyBorder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  <xf numFmtId="0" fontId="34" fillId="25" borderId="33" xfId="53" applyFont="1" applyFill="1" applyBorder="1" applyAlignment="1">
      <alignment horizontal="center" vertical="center" wrapText="1"/>
    </xf>
    <xf numFmtId="1" fontId="37" fillId="0" borderId="33" xfId="53" applyNumberFormat="1" applyFont="1" applyFill="1" applyBorder="1" applyAlignment="1">
      <alignment horizontal="center" vertical="center" wrapText="1"/>
    </xf>
    <xf numFmtId="4" fontId="34" fillId="0" borderId="33" xfId="53" applyNumberFormat="1" applyFont="1" applyFill="1" applyBorder="1" applyAlignment="1">
      <alignment horizontal="center" vertical="center"/>
    </xf>
    <xf numFmtId="0" fontId="34" fillId="0" borderId="33" xfId="53" applyFont="1" applyFill="1" applyBorder="1" applyAlignment="1">
      <alignment horizontal="center" vertical="center"/>
    </xf>
    <xf numFmtId="0" fontId="34" fillId="0" borderId="33" xfId="53" applyFont="1" applyFill="1" applyBorder="1" applyAlignment="1">
      <alignment vertical="center"/>
    </xf>
    <xf numFmtId="0" fontId="37" fillId="0" borderId="33" xfId="53" applyFont="1" applyFill="1" applyBorder="1" applyAlignment="1">
      <alignment horizontal="center" vertical="center" wrapText="1"/>
    </xf>
    <xf numFmtId="0" fontId="34" fillId="0" borderId="33" xfId="53" applyFont="1" applyFill="1" applyBorder="1" applyAlignment="1">
      <alignment horizontal="center" vertical="center" wrapText="1"/>
    </xf>
    <xf numFmtId="0" fontId="34" fillId="0" borderId="33" xfId="53" applyFont="1" applyFill="1" applyBorder="1" applyAlignment="1">
      <alignment vertical="center" wrapText="1"/>
    </xf>
    <xf numFmtId="14" fontId="34" fillId="0" borderId="33" xfId="53" applyNumberFormat="1" applyFont="1" applyFill="1" applyBorder="1" applyAlignment="1">
      <alignment horizontal="center" vertical="center"/>
    </xf>
    <xf numFmtId="1" fontId="63" fillId="0" borderId="34" xfId="53" applyNumberFormat="1" applyFont="1" applyFill="1" applyBorder="1" applyAlignment="1">
      <alignment horizontal="center" vertical="center" wrapText="1"/>
    </xf>
    <xf numFmtId="1" fontId="63" fillId="0" borderId="35" xfId="53" applyNumberFormat="1" applyFont="1" applyFill="1" applyBorder="1" applyAlignment="1">
      <alignment horizontal="center" vertical="center" wrapText="1"/>
    </xf>
    <xf numFmtId="1" fontId="63" fillId="0" borderId="36" xfId="5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7"/>
      <c r="C1" s="28" t="s">
        <v>57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56</v>
      </c>
    </row>
    <row r="4" spans="1:22" s="2" customFormat="1" ht="18.75" x14ac:dyDescent="0.3">
      <c r="A4" s="30"/>
      <c r="H4" s="29"/>
    </row>
    <row r="5" spans="1:22" s="2" customFormat="1" ht="15.75" x14ac:dyDescent="0.25">
      <c r="A5" s="188" t="str">
        <f>'[1]6.2. отчет'!$B$2</f>
        <v>Год раскрытия информации: 2024 год</v>
      </c>
      <c r="B5" s="188"/>
      <c r="C5" s="188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192" t="s">
        <v>5</v>
      </c>
      <c r="B7" s="192"/>
      <c r="C7" s="192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7"/>
      <c r="B8" s="67"/>
      <c r="C8" s="67"/>
      <c r="D8" s="67"/>
      <c r="E8" s="67"/>
      <c r="F8" s="67"/>
      <c r="G8" s="67"/>
      <c r="H8" s="67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193" t="s">
        <v>287</v>
      </c>
      <c r="B9" s="193"/>
      <c r="C9" s="193"/>
      <c r="D9" s="72"/>
      <c r="E9" s="72"/>
      <c r="F9" s="72"/>
      <c r="G9" s="72"/>
      <c r="H9" s="72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194" t="s">
        <v>4</v>
      </c>
      <c r="B10" s="194"/>
      <c r="C10" s="194"/>
      <c r="D10" s="73"/>
      <c r="E10" s="73"/>
      <c r="F10" s="73"/>
      <c r="G10" s="73"/>
      <c r="H10" s="73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7"/>
      <c r="B11" s="67"/>
      <c r="C11" s="67"/>
      <c r="D11" s="67"/>
      <c r="E11" s="67"/>
      <c r="F11" s="67"/>
      <c r="G11" s="67"/>
      <c r="H11" s="67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193" t="s">
        <v>468</v>
      </c>
      <c r="B12" s="193"/>
      <c r="C12" s="193"/>
      <c r="D12" s="72"/>
      <c r="E12" s="72"/>
      <c r="F12" s="72"/>
      <c r="G12" s="72"/>
      <c r="H12" s="72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194" t="s">
        <v>3</v>
      </c>
      <c r="B13" s="194"/>
      <c r="C13" s="194"/>
      <c r="D13" s="73"/>
      <c r="E13" s="73"/>
      <c r="F13" s="73"/>
      <c r="G13" s="73"/>
      <c r="H13" s="73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4" customFormat="1" ht="15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2" s="45" customFormat="1" ht="85.5" customHeight="1" x14ac:dyDescent="0.2">
      <c r="A15" s="195" t="str">
        <f>VLOOKUP(A12,'[1]6.2. отчет'!$A:$C,3,0)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193"/>
      <c r="C15" s="193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45" customFormat="1" ht="15" customHeight="1" x14ac:dyDescent="0.2">
      <c r="A16" s="189" t="s">
        <v>2</v>
      </c>
      <c r="B16" s="189"/>
      <c r="C16" s="18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45" customFormat="1" ht="15" customHeight="1" x14ac:dyDescent="0.2">
      <c r="A17" s="74"/>
      <c r="B17" s="74"/>
      <c r="C17" s="74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22" s="45" customFormat="1" ht="15" customHeight="1" x14ac:dyDescent="0.2">
      <c r="A18" s="190" t="s">
        <v>279</v>
      </c>
      <c r="B18" s="191"/>
      <c r="C18" s="191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45" customFormat="1" ht="15" customHeight="1" x14ac:dyDescent="0.2">
      <c r="A19" s="76"/>
      <c r="B19" s="76"/>
      <c r="C19" s="76"/>
      <c r="D19" s="73"/>
      <c r="E19" s="73"/>
      <c r="F19" s="73"/>
      <c r="G19" s="73"/>
      <c r="H19" s="73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22" s="45" customFormat="1" ht="39.75" customHeight="1" x14ac:dyDescent="0.2">
      <c r="A20" s="77" t="s">
        <v>1</v>
      </c>
      <c r="B20" s="78" t="s">
        <v>55</v>
      </c>
      <c r="C20" s="79" t="s">
        <v>54</v>
      </c>
      <c r="D20" s="80"/>
      <c r="E20" s="80"/>
      <c r="F20" s="80"/>
      <c r="G20" s="80"/>
      <c r="H20" s="80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81"/>
      <c r="U20" s="81"/>
      <c r="V20" s="81"/>
    </row>
    <row r="21" spans="1:22" s="45" customFormat="1" ht="16.5" customHeight="1" x14ac:dyDescent="0.2">
      <c r="A21" s="79">
        <v>1</v>
      </c>
      <c r="B21" s="78">
        <v>2</v>
      </c>
      <c r="C21" s="79">
        <v>3</v>
      </c>
      <c r="D21" s="80"/>
      <c r="E21" s="80"/>
      <c r="F21" s="80"/>
      <c r="G21" s="80"/>
      <c r="H21" s="80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81"/>
      <c r="U21" s="81"/>
      <c r="V21" s="81"/>
    </row>
    <row r="22" spans="1:22" s="45" customFormat="1" ht="47.25" x14ac:dyDescent="0.2">
      <c r="A22" s="63" t="s">
        <v>53</v>
      </c>
      <c r="B22" s="82" t="s">
        <v>171</v>
      </c>
      <c r="C22" s="65" t="s">
        <v>484</v>
      </c>
      <c r="D22" s="80"/>
      <c r="E22" s="80"/>
      <c r="F22" s="80"/>
      <c r="G22" s="80"/>
      <c r="H22" s="80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81"/>
      <c r="U22" s="81"/>
      <c r="V22" s="81"/>
    </row>
    <row r="23" spans="1:22" s="45" customFormat="1" ht="78.75" x14ac:dyDescent="0.2">
      <c r="A23" s="63" t="s">
        <v>52</v>
      </c>
      <c r="B23" s="64" t="s">
        <v>445</v>
      </c>
      <c r="C23" s="65" t="s">
        <v>485</v>
      </c>
      <c r="D23" s="80"/>
      <c r="E23" s="80"/>
      <c r="F23" s="80"/>
      <c r="G23" s="80"/>
      <c r="H23" s="80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81"/>
      <c r="U23" s="81"/>
      <c r="V23" s="81"/>
    </row>
    <row r="24" spans="1:22" s="45" customFormat="1" ht="22.5" customHeight="1" x14ac:dyDescent="0.2">
      <c r="A24" s="185"/>
      <c r="B24" s="186"/>
      <c r="C24" s="187"/>
      <c r="D24" s="80"/>
      <c r="E24" s="80"/>
      <c r="F24" s="80"/>
      <c r="G24" s="80"/>
      <c r="H24" s="80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81"/>
      <c r="U24" s="81"/>
      <c r="V24" s="81"/>
    </row>
    <row r="25" spans="1:22" s="45" customFormat="1" ht="58.5" customHeight="1" x14ac:dyDescent="0.2">
      <c r="A25" s="63" t="s">
        <v>51</v>
      </c>
      <c r="B25" s="65" t="s">
        <v>252</v>
      </c>
      <c r="C25" s="77" t="s">
        <v>486</v>
      </c>
      <c r="D25" s="80"/>
      <c r="E25" s="80"/>
      <c r="F25" s="80"/>
      <c r="G25" s="80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81"/>
      <c r="T25" s="81"/>
      <c r="U25" s="81"/>
      <c r="V25" s="81"/>
    </row>
    <row r="26" spans="1:22" s="45" customFormat="1" ht="42.75" customHeight="1" x14ac:dyDescent="0.2">
      <c r="A26" s="63" t="s">
        <v>50</v>
      </c>
      <c r="B26" s="65" t="s">
        <v>63</v>
      </c>
      <c r="C26" s="77" t="s">
        <v>487</v>
      </c>
      <c r="D26" s="80"/>
      <c r="E26" s="80"/>
      <c r="F26" s="80"/>
      <c r="G26" s="80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81"/>
      <c r="T26" s="81"/>
      <c r="U26" s="81"/>
      <c r="V26" s="81"/>
    </row>
    <row r="27" spans="1:22" s="45" customFormat="1" ht="51.75" customHeight="1" x14ac:dyDescent="0.2">
      <c r="A27" s="63" t="s">
        <v>48</v>
      </c>
      <c r="B27" s="65" t="s">
        <v>62</v>
      </c>
      <c r="C27" s="77" t="s">
        <v>488</v>
      </c>
      <c r="D27" s="80"/>
      <c r="E27" s="80"/>
      <c r="F27" s="80"/>
      <c r="G27" s="80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81"/>
      <c r="T27" s="81"/>
      <c r="U27" s="81"/>
      <c r="V27" s="81"/>
    </row>
    <row r="28" spans="1:22" s="45" customFormat="1" ht="42.75" customHeight="1" x14ac:dyDescent="0.2">
      <c r="A28" s="63" t="s">
        <v>47</v>
      </c>
      <c r="B28" s="65" t="s">
        <v>253</v>
      </c>
      <c r="C28" s="77" t="s">
        <v>288</v>
      </c>
      <c r="D28" s="80"/>
      <c r="E28" s="80"/>
      <c r="F28" s="80"/>
      <c r="G28" s="80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81"/>
      <c r="T28" s="81"/>
      <c r="U28" s="81"/>
      <c r="V28" s="81"/>
    </row>
    <row r="29" spans="1:22" s="45" customFormat="1" ht="51.75" customHeight="1" x14ac:dyDescent="0.2">
      <c r="A29" s="63" t="s">
        <v>45</v>
      </c>
      <c r="B29" s="65" t="s">
        <v>254</v>
      </c>
      <c r="C29" s="77" t="s">
        <v>288</v>
      </c>
      <c r="D29" s="80"/>
      <c r="E29" s="80"/>
      <c r="F29" s="80"/>
      <c r="G29" s="80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81"/>
      <c r="T29" s="81"/>
      <c r="U29" s="81"/>
      <c r="V29" s="81"/>
    </row>
    <row r="30" spans="1:22" s="45" customFormat="1" ht="51.75" customHeight="1" x14ac:dyDescent="0.2">
      <c r="A30" s="63" t="s">
        <v>43</v>
      </c>
      <c r="B30" s="65" t="s">
        <v>255</v>
      </c>
      <c r="C30" s="77" t="s">
        <v>288</v>
      </c>
      <c r="D30" s="80"/>
      <c r="E30" s="80"/>
      <c r="F30" s="80"/>
      <c r="G30" s="80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81"/>
      <c r="T30" s="81"/>
      <c r="U30" s="81"/>
      <c r="V30" s="81"/>
    </row>
    <row r="31" spans="1:22" s="45" customFormat="1" ht="51.75" customHeight="1" x14ac:dyDescent="0.2">
      <c r="A31" s="63" t="s">
        <v>61</v>
      </c>
      <c r="B31" s="65" t="s">
        <v>256</v>
      </c>
      <c r="C31" s="77" t="s">
        <v>288</v>
      </c>
      <c r="D31" s="80"/>
      <c r="E31" s="80"/>
      <c r="F31" s="80"/>
      <c r="G31" s="80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81"/>
      <c r="T31" s="81"/>
      <c r="U31" s="81"/>
      <c r="V31" s="81"/>
    </row>
    <row r="32" spans="1:22" s="45" customFormat="1" ht="51.75" customHeight="1" x14ac:dyDescent="0.2">
      <c r="A32" s="63" t="s">
        <v>59</v>
      </c>
      <c r="B32" s="65" t="s">
        <v>257</v>
      </c>
      <c r="C32" s="77" t="s">
        <v>288</v>
      </c>
      <c r="D32" s="80"/>
      <c r="E32" s="80"/>
      <c r="F32" s="80"/>
      <c r="G32" s="80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81"/>
      <c r="T32" s="81"/>
      <c r="U32" s="81"/>
      <c r="V32" s="81"/>
    </row>
    <row r="33" spans="1:22" s="45" customFormat="1" ht="101.25" customHeight="1" x14ac:dyDescent="0.2">
      <c r="A33" s="63" t="s">
        <v>58</v>
      </c>
      <c r="B33" s="65" t="s">
        <v>258</v>
      </c>
      <c r="C33" s="77" t="s">
        <v>489</v>
      </c>
      <c r="D33" s="80"/>
      <c r="E33" s="80"/>
      <c r="F33" s="80"/>
      <c r="G33" s="80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81"/>
      <c r="T33" s="81"/>
      <c r="U33" s="81"/>
      <c r="V33" s="81"/>
    </row>
    <row r="34" spans="1:22" ht="111" customHeight="1" x14ac:dyDescent="0.25">
      <c r="A34" s="63" t="s">
        <v>267</v>
      </c>
      <c r="B34" s="65" t="s">
        <v>259</v>
      </c>
      <c r="C34" s="77" t="s">
        <v>447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7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7" t="s">
        <v>447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7" t="s">
        <v>447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7" t="s">
        <v>288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185"/>
      <c r="B39" s="186"/>
      <c r="C39" s="18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94.5" x14ac:dyDescent="0.25">
      <c r="A40" s="63" t="s">
        <v>264</v>
      </c>
      <c r="B40" s="65" t="s">
        <v>444</v>
      </c>
      <c r="C40" s="77" t="s">
        <v>490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4" t="s">
        <v>270</v>
      </c>
      <c r="B41" s="24" t="s">
        <v>301</v>
      </c>
      <c r="C41" s="77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4" t="s">
        <v>265</v>
      </c>
      <c r="B42" s="24" t="s">
        <v>302</v>
      </c>
      <c r="C42" s="77" t="s">
        <v>491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4" t="s">
        <v>272</v>
      </c>
      <c r="B43" s="24" t="s">
        <v>303</v>
      </c>
      <c r="C43" s="77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4" t="s">
        <v>266</v>
      </c>
      <c r="B44" s="24" t="s">
        <v>304</v>
      </c>
      <c r="C44" s="77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4" t="s">
        <v>305</v>
      </c>
      <c r="B45" s="24" t="s">
        <v>306</v>
      </c>
      <c r="C45" s="77" t="s">
        <v>288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4" t="s">
        <v>307</v>
      </c>
      <c r="B46" s="24" t="s">
        <v>280</v>
      </c>
      <c r="C46" s="77" t="s">
        <v>492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4"/>
      <c r="B47" s="24"/>
      <c r="C47" s="35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4" t="s">
        <v>442</v>
      </c>
      <c r="B48" s="24" t="s">
        <v>284</v>
      </c>
      <c r="C48" s="152" t="e">
        <f>'6.2. Паспорт фин осв ввод'!#REF!</f>
        <v>#REF!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4" t="s">
        <v>443</v>
      </c>
      <c r="B49" s="24" t="s">
        <v>285</v>
      </c>
      <c r="C49" s="152" t="e">
        <f>'6.2. Паспорт фин осв ввод'!#REF!</f>
        <v>#REF!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3"/>
      <c r="B50" s="83"/>
      <c r="C50" s="83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3"/>
      <c r="B51" s="83"/>
      <c r="C51" s="83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77"/>
  <sheetViews>
    <sheetView topLeftCell="A16" zoomScale="60" zoomScaleNormal="60" zoomScaleSheetLayoutView="75" workbookViewId="0">
      <selection activeCell="A14" sqref="A14:K14"/>
    </sheetView>
  </sheetViews>
  <sheetFormatPr defaultColWidth="12.42578125" defaultRowHeight="15.75" x14ac:dyDescent="0.25"/>
  <cols>
    <col min="1" max="1" width="12.42578125" style="8"/>
    <col min="2" max="2" width="52.7109375" style="8" customWidth="1"/>
    <col min="3" max="16384" width="12.42578125" style="8"/>
  </cols>
  <sheetData>
    <row r="1" spans="1:11" ht="18.75" x14ac:dyDescent="0.25">
      <c r="K1" s="28" t="s">
        <v>57</v>
      </c>
    </row>
    <row r="2" spans="1:11" ht="18.75" x14ac:dyDescent="0.3">
      <c r="K2" s="29" t="s">
        <v>6</v>
      </c>
    </row>
    <row r="3" spans="1:11" ht="18.75" x14ac:dyDescent="0.3">
      <c r="K3" s="29" t="s">
        <v>56</v>
      </c>
    </row>
    <row r="4" spans="1:11" ht="18.75" customHeight="1" x14ac:dyDescent="0.25">
      <c r="A4" s="188" t="str">
        <f>'1. паспорт местоположение'!$A$5</f>
        <v>Год раскрытия информации: 2024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</row>
    <row r="6" spans="1:11" ht="18.75" x14ac:dyDescent="0.25">
      <c r="A6" s="192" t="s">
        <v>5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193" t="str">
        <f>'6.1. Паспорт сетевой график'!A9:L9</f>
        <v>АО "Чеченэнерго"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</row>
    <row r="9" spans="1:11" ht="18.75" customHeight="1" x14ac:dyDescent="0.25">
      <c r="A9" s="194" t="s">
        <v>4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</row>
    <row r="10" spans="1:11" x14ac:dyDescent="0.25">
      <c r="A10" s="158"/>
      <c r="B10" s="158"/>
      <c r="C10" s="158"/>
      <c r="D10" s="158"/>
      <c r="E10" s="158"/>
      <c r="F10" s="158"/>
      <c r="G10" s="158"/>
      <c r="H10" s="158"/>
      <c r="I10" s="158"/>
      <c r="J10" s="158"/>
      <c r="K10" s="158"/>
    </row>
    <row r="11" spans="1:11" x14ac:dyDescent="0.25">
      <c r="A11" s="193" t="str">
        <f>'6.1. Паспорт сетевой график'!A12:L12</f>
        <v>O_Che475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</row>
    <row r="12" spans="1:11" x14ac:dyDescent="0.25">
      <c r="A12" s="194" t="s">
        <v>3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</row>
    <row r="13" spans="1:11" ht="16.5" customHeight="1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pans="1:11" ht="62.25" customHeight="1" x14ac:dyDescent="0.25">
      <c r="A14" s="195" t="str">
        <f>'6.1. Паспорт сетевой график'!A15:L15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</row>
    <row r="15" spans="1:11" ht="15.75" customHeight="1" x14ac:dyDescent="0.25">
      <c r="A15" s="194" t="s">
        <v>2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</row>
    <row r="16" spans="1:11" x14ac:dyDescent="0.25">
      <c r="A16" s="258"/>
      <c r="B16" s="258"/>
      <c r="C16" s="258"/>
      <c r="D16" s="258"/>
      <c r="E16" s="258"/>
      <c r="F16" s="258"/>
      <c r="G16" s="258"/>
      <c r="H16" s="258"/>
      <c r="I16" s="258"/>
      <c r="J16" s="258"/>
      <c r="K16" s="258"/>
    </row>
    <row r="17" spans="1:11" x14ac:dyDescent="0.25">
      <c r="E17" s="159"/>
    </row>
    <row r="18" spans="1:11" x14ac:dyDescent="0.25">
      <c r="A18" s="266" t="s">
        <v>274</v>
      </c>
      <c r="B18" s="266"/>
      <c r="C18" s="266"/>
      <c r="D18" s="266"/>
      <c r="E18" s="266"/>
      <c r="F18" s="266"/>
      <c r="G18" s="266"/>
      <c r="H18" s="266"/>
      <c r="I18" s="266"/>
      <c r="J18" s="266"/>
      <c r="K18" s="266"/>
    </row>
    <row r="19" spans="1:11" x14ac:dyDescent="0.25">
      <c r="F19" s="60"/>
    </row>
    <row r="20" spans="1:11" ht="33" customHeight="1" x14ac:dyDescent="0.25">
      <c r="A20" s="242" t="s">
        <v>124</v>
      </c>
      <c r="B20" s="242" t="s">
        <v>123</v>
      </c>
      <c r="C20" s="254" t="s">
        <v>122</v>
      </c>
      <c r="D20" s="255"/>
      <c r="E20" s="262" t="s">
        <v>121</v>
      </c>
      <c r="F20" s="263"/>
      <c r="G20" s="242" t="s">
        <v>465</v>
      </c>
      <c r="H20" s="259" t="s">
        <v>500</v>
      </c>
      <c r="I20" s="260"/>
      <c r="J20" s="260"/>
      <c r="K20" s="261"/>
    </row>
    <row r="21" spans="1:11" ht="87" customHeight="1" x14ac:dyDescent="0.25">
      <c r="A21" s="243"/>
      <c r="B21" s="243"/>
      <c r="C21" s="256"/>
      <c r="D21" s="257"/>
      <c r="E21" s="264"/>
      <c r="F21" s="265"/>
      <c r="G21" s="243"/>
      <c r="H21" s="248" t="s">
        <v>0</v>
      </c>
      <c r="I21" s="249"/>
      <c r="J21" s="248" t="s">
        <v>7</v>
      </c>
      <c r="K21" s="249"/>
    </row>
    <row r="22" spans="1:11" ht="62.25" customHeight="1" x14ac:dyDescent="0.25">
      <c r="A22" s="244"/>
      <c r="B22" s="244"/>
      <c r="C22" s="181" t="s">
        <v>0</v>
      </c>
      <c r="D22" s="181" t="s">
        <v>7</v>
      </c>
      <c r="E22" s="153" t="s">
        <v>466</v>
      </c>
      <c r="F22" s="153" t="s">
        <v>467</v>
      </c>
      <c r="G22" s="244"/>
      <c r="H22" s="154" t="s">
        <v>501</v>
      </c>
      <c r="I22" s="154" t="s">
        <v>502</v>
      </c>
      <c r="J22" s="154" t="s">
        <v>501</v>
      </c>
      <c r="K22" s="154" t="s">
        <v>502</v>
      </c>
    </row>
    <row r="23" spans="1:11" ht="19.5" customHeight="1" x14ac:dyDescent="0.25">
      <c r="A23" s="161">
        <v>1</v>
      </c>
      <c r="B23" s="161">
        <v>2</v>
      </c>
      <c r="C23" s="161">
        <v>3</v>
      </c>
      <c r="D23" s="161">
        <v>4</v>
      </c>
      <c r="E23" s="161">
        <v>5</v>
      </c>
      <c r="F23" s="161">
        <v>6</v>
      </c>
      <c r="G23" s="161">
        <v>7</v>
      </c>
      <c r="H23" s="161">
        <v>8</v>
      </c>
      <c r="I23" s="161">
        <v>9</v>
      </c>
      <c r="J23" s="161">
        <v>10</v>
      </c>
      <c r="K23" s="161">
        <v>11</v>
      </c>
    </row>
    <row r="24" spans="1:11" s="38" customFormat="1" ht="47.25" x14ac:dyDescent="0.25">
      <c r="A24" s="15">
        <v>1</v>
      </c>
      <c r="B24" s="14" t="s">
        <v>120</v>
      </c>
      <c r="C24" s="155" t="str">
        <f>VLOOKUP($A$11,'[1]6.2. отчет'!$D:$K,2,0)</f>
        <v>нд</v>
      </c>
      <c r="D24" s="155">
        <f>VLOOKUP($A$11,'[1]6.2. отчет'!$D:$K,5,0)</f>
        <v>12.36925081</v>
      </c>
      <c r="E24" s="155">
        <f>VLOOKUP($A$11,'[1]6.2. отчет'!$D:$K,7,0)</f>
        <v>13.051530648</v>
      </c>
      <c r="F24" s="155">
        <f>VLOOKUP($A$11,'[1]6.2. отчет'!$D:$K,8,0)</f>
        <v>13.051530648</v>
      </c>
      <c r="G24" s="155">
        <f>VLOOKUP($A$11,'[1]6.2. отчет'!$D:$BL,9,0)</f>
        <v>0</v>
      </c>
      <c r="H24" s="155" t="str">
        <f>VLOOKUP($A$11,'[1]6.2. отчет'!$D:$BL,15,0)</f>
        <v>нд</v>
      </c>
      <c r="I24" s="155" t="str">
        <f>VLOOKUP($A$11,'[1]6.2. отчет'!$D:$CU,45,0)</f>
        <v>нд</v>
      </c>
      <c r="J24" s="155">
        <f>VLOOKUP($A$11,'[1]6.2. отчет'!$D:$BL,56,0)</f>
        <v>12.36925081</v>
      </c>
      <c r="K24" s="155">
        <f>VLOOKUP($A$11,'[1]6.2. отчет'!$D:$CU,86,0)</f>
        <v>0</v>
      </c>
    </row>
    <row r="25" spans="1:11" s="38" customFormat="1" x14ac:dyDescent="0.25">
      <c r="A25" s="13" t="s">
        <v>119</v>
      </c>
      <c r="B25" s="7" t="s">
        <v>118</v>
      </c>
      <c r="C25" s="155" t="str">
        <f t="shared" ref="C25:C26" si="0">H25</f>
        <v>нд</v>
      </c>
      <c r="D25" s="155">
        <f>G25+J25</f>
        <v>0</v>
      </c>
      <c r="E25" s="155">
        <f t="shared" ref="E25:E28" si="1">F25+G25</f>
        <v>0</v>
      </c>
      <c r="F25" s="155">
        <f t="shared" ref="F25:F26" si="2">J25</f>
        <v>0</v>
      </c>
      <c r="G25" s="155">
        <f>VLOOKUP($A$11,'[1]6.2. отчет'!$D:$BL,10,0)</f>
        <v>0</v>
      </c>
      <c r="H25" s="155" t="str">
        <f>VLOOKUP($A$11,'[1]6.2. отчет'!$D:$BL,16,0)</f>
        <v>нд</v>
      </c>
      <c r="I25" s="155" t="str">
        <f>IF(H25=0,0,VLOOKUP($A$11,'[1]6.2. отчет'!$D:$CU,46,0))</f>
        <v>нд</v>
      </c>
      <c r="J25" s="155">
        <f>VLOOKUP($A$11,'[1]6.2. отчет'!$D:$BL,57,0)</f>
        <v>0</v>
      </c>
      <c r="K25" s="155">
        <f>IF(J25=0,0,VLOOKUP($A$11,'[1]6.2. отчет'!$D:$CU,87,0))</f>
        <v>0</v>
      </c>
    </row>
    <row r="26" spans="1:11" s="38" customFormat="1" x14ac:dyDescent="0.25">
      <c r="A26" s="13" t="s">
        <v>117</v>
      </c>
      <c r="B26" s="7" t="s">
        <v>116</v>
      </c>
      <c r="C26" s="155" t="str">
        <f t="shared" si="0"/>
        <v>нд</v>
      </c>
      <c r="D26" s="155">
        <f>G26+J26</f>
        <v>0</v>
      </c>
      <c r="E26" s="155">
        <f t="shared" si="1"/>
        <v>0</v>
      </c>
      <c r="F26" s="155">
        <f t="shared" si="2"/>
        <v>0</v>
      </c>
      <c r="G26" s="155">
        <f>VLOOKUP($A$11,'[1]6.2. отчет'!$D:$BL,11,0)</f>
        <v>0</v>
      </c>
      <c r="H26" s="155" t="str">
        <f>VLOOKUP($A$11,'[1]6.2. отчет'!$D:$BL,17,0)</f>
        <v>нд</v>
      </c>
      <c r="I26" s="155" t="str">
        <f>IF(H26=0,0,VLOOKUP($A$11,'[1]6.2. отчет'!$D:$CU,47,0))</f>
        <v>нд</v>
      </c>
      <c r="J26" s="155">
        <f>VLOOKUP($A$11,'[1]6.2. отчет'!$D:$BL,58,0)</f>
        <v>0</v>
      </c>
      <c r="K26" s="155">
        <f>IF(J26=0,0,VLOOKUP($A$11,'[1]6.2. отчет'!$D:$CU,88,0))</f>
        <v>0</v>
      </c>
    </row>
    <row r="27" spans="1:11" s="38" customFormat="1" ht="31.5" x14ac:dyDescent="0.25">
      <c r="A27" s="13" t="s">
        <v>115</v>
      </c>
      <c r="B27" s="7" t="s">
        <v>225</v>
      </c>
      <c r="C27" s="155" t="str">
        <f>IF(C24="нд","нд",C24-(C29+C28+C26+C25))</f>
        <v>нд</v>
      </c>
      <c r="D27" s="155">
        <f>G27+J27+D24-(G24+J24)</f>
        <v>10.307709008333337</v>
      </c>
      <c r="E27" s="155">
        <f>F27+G27</f>
        <v>13.051530648</v>
      </c>
      <c r="F27" s="155">
        <f>F24-(F25+F26+F28+F29)</f>
        <v>13.051530648</v>
      </c>
      <c r="G27" s="155">
        <f>VLOOKUP($A$11,'[1]6.2. отчет'!$D:$BL,12,0)</f>
        <v>0</v>
      </c>
      <c r="H27" s="155" t="str">
        <f>VLOOKUP($A$11,'[1]6.2. отчет'!$D:$BL,18,0)</f>
        <v>нд</v>
      </c>
      <c r="I27" s="155" t="str">
        <f>IF(H27=0,0,VLOOKUP($A$11,'[1]6.2. отчет'!$D:$CU,48,0))</f>
        <v>нд</v>
      </c>
      <c r="J27" s="155">
        <f>VLOOKUP($A$11,'[1]6.2. отчет'!$D:$BL,59,0)</f>
        <v>10.307709008333335</v>
      </c>
      <c r="K27" s="155">
        <f>IF(J27=0,0,VLOOKUP($A$11,'[1]6.2. отчет'!$D:$CU,89,0))</f>
        <v>0</v>
      </c>
    </row>
    <row r="28" spans="1:11" s="38" customFormat="1" x14ac:dyDescent="0.25">
      <c r="A28" s="13" t="s">
        <v>114</v>
      </c>
      <c r="B28" s="7" t="s">
        <v>113</v>
      </c>
      <c r="C28" s="155" t="str">
        <f>H28</f>
        <v>нд</v>
      </c>
      <c r="D28" s="155">
        <f t="shared" ref="D28:D29" si="3">G28+J28</f>
        <v>0</v>
      </c>
      <c r="E28" s="155">
        <f t="shared" si="1"/>
        <v>0</v>
      </c>
      <c r="F28" s="155">
        <v>0</v>
      </c>
      <c r="G28" s="155">
        <f>VLOOKUP($A$11,'[1]6.2. отчет'!$D:$BL,13,0)</f>
        <v>0</v>
      </c>
      <c r="H28" s="155" t="str">
        <f>VLOOKUP($A$11,'[1]6.2. отчет'!$D:$BL,19,0)</f>
        <v>нд</v>
      </c>
      <c r="I28" s="155" t="str">
        <f>IF(H28=0,0,VLOOKUP($A$11,'[1]6.2. отчет'!$D:$CU,49,0))</f>
        <v>нд</v>
      </c>
      <c r="J28" s="155">
        <f>VLOOKUP($A$11,'[1]6.2. отчет'!$D:$BL,60,0)</f>
        <v>0</v>
      </c>
      <c r="K28" s="155">
        <f>IF(J28=0,0,VLOOKUP($A$11,'[1]6.2. отчет'!$D:$CU,90,0))</f>
        <v>0</v>
      </c>
    </row>
    <row r="29" spans="1:11" s="38" customFormat="1" x14ac:dyDescent="0.25">
      <c r="A29" s="13" t="s">
        <v>112</v>
      </c>
      <c r="B29" s="16" t="s">
        <v>111</v>
      </c>
      <c r="C29" s="155" t="str">
        <f>H29</f>
        <v>нд</v>
      </c>
      <c r="D29" s="155">
        <f t="shared" si="3"/>
        <v>2.0615418016666656</v>
      </c>
      <c r="E29" s="155">
        <f>F29+G29</f>
        <v>0</v>
      </c>
      <c r="F29" s="155">
        <v>0</v>
      </c>
      <c r="G29" s="155">
        <f>VLOOKUP($A$11,'[1]6.2. отчет'!$D:$BL,14,0)</f>
        <v>0</v>
      </c>
      <c r="H29" s="155" t="str">
        <f>VLOOKUP($A$11,'[1]6.2. отчет'!$D:$BL,20,0)</f>
        <v>нд</v>
      </c>
      <c r="I29" s="155" t="str">
        <f>IF(H29=0,0,VLOOKUP($A$11,'[1]6.2. отчет'!$D:$CU,50,0))</f>
        <v>нд</v>
      </c>
      <c r="J29" s="155">
        <f>VLOOKUP($A$11,'[1]6.2. отчет'!$D:$BL,61,0)</f>
        <v>2.0615418016666656</v>
      </c>
      <c r="K29" s="155">
        <f>IF(J29=0,0,VLOOKUP($A$11,'[1]6.2. отчет'!$D:$CU,91,0))</f>
        <v>0</v>
      </c>
    </row>
    <row r="30" spans="1:11" s="38" customFormat="1" ht="47.25" x14ac:dyDescent="0.25">
      <c r="A30" s="15" t="s">
        <v>52</v>
      </c>
      <c r="B30" s="14" t="s">
        <v>110</v>
      </c>
      <c r="C30" s="155" t="str">
        <f>VLOOKUP($A$11,'[1]6.2. отчет'!$D:$DB,99,0)</f>
        <v>нд</v>
      </c>
      <c r="D30" s="155">
        <f>VLOOKUP($A$11,'[1]6.2. отчет'!$D:$FK,106,0)</f>
        <v>10.850220009999999</v>
      </c>
      <c r="E30" s="155">
        <f>VLOOKUP($A$11,'[1]6.2. отчет'!$D:$FK,108,0)</f>
        <v>10.87627554</v>
      </c>
      <c r="F30" s="155">
        <f>VLOOKUP($A$11,'[1]6.2. отчет'!$D:$FK,109,0)</f>
        <v>10.87627554</v>
      </c>
      <c r="G30" s="155">
        <f>VLOOKUP($A$11,'[1]6.2. отчет'!$D:$FK,110,0)</f>
        <v>0</v>
      </c>
      <c r="H30" s="155" t="str">
        <f>VLOOKUP($A$11,'[1]6.2. отчет'!$D:$FK,115,0)</f>
        <v>нд</v>
      </c>
      <c r="I30" s="155" t="str">
        <f>VLOOKUP($A$11,'[1]6.2. отчет'!$D:$AGP,124,0)</f>
        <v>нд</v>
      </c>
      <c r="J30" s="155">
        <f>VLOOKUP($A$11,'[1]6.2. отчет'!$D:$FK,130,0)</f>
        <v>10.850220009999999</v>
      </c>
      <c r="K30" s="155">
        <f>VLOOKUP($A$11,'[1]6.2. отчет'!$D:$FK,155,0)</f>
        <v>0</v>
      </c>
    </row>
    <row r="31" spans="1:11" s="38" customFormat="1" x14ac:dyDescent="0.25">
      <c r="A31" s="15" t="s">
        <v>109</v>
      </c>
      <c r="B31" s="7" t="s">
        <v>108</v>
      </c>
      <c r="C31" s="155" t="str">
        <f>VLOOKUP($A$11,'[1]6.2. отчет'!$D:$DB,100,0)</f>
        <v>нд</v>
      </c>
      <c r="D31" s="155">
        <v>0.94360379000000005</v>
      </c>
      <c r="E31" s="155">
        <f>F31+G31</f>
        <v>0.94360381000000004</v>
      </c>
      <c r="F31" s="155">
        <v>0.94360381000000004</v>
      </c>
      <c r="G31" s="155">
        <f>VLOOKUP($A$11,'[1]6.2. отчет'!$D:$FK,111,0)</f>
        <v>0</v>
      </c>
      <c r="H31" s="155" t="s">
        <v>300</v>
      </c>
      <c r="I31" s="155" t="s">
        <v>300</v>
      </c>
      <c r="J31" s="155">
        <f>VLOOKUP($A$11,'[1]6.2. отчет'!$D:$FK,131,0)</f>
        <v>0.94360379000000005</v>
      </c>
      <c r="K31" s="155">
        <f>IF(J31=0,0,VLOOKUP($A$11,'[1]6.2. отчет'!$D:$FK,156,0))</f>
        <v>0</v>
      </c>
    </row>
    <row r="32" spans="1:11" s="38" customFormat="1" ht="31.5" x14ac:dyDescent="0.25">
      <c r="A32" s="15" t="s">
        <v>107</v>
      </c>
      <c r="B32" s="7" t="s">
        <v>106</v>
      </c>
      <c r="C32" s="155" t="str">
        <f>VLOOKUP($A$11,'[1]6.2. отчет'!$D:$DB,101,0)</f>
        <v>нд</v>
      </c>
      <c r="D32" s="155">
        <v>0.40146694999999999</v>
      </c>
      <c r="E32" s="155">
        <f>F32+G32</f>
        <v>0.14091173000000001</v>
      </c>
      <c r="F32" s="155">
        <v>0.14091173000000001</v>
      </c>
      <c r="G32" s="155">
        <f>VLOOKUP($A$11,'[1]6.2. отчет'!$D:$FK,112,0)</f>
        <v>0</v>
      </c>
      <c r="H32" s="155" t="s">
        <v>300</v>
      </c>
      <c r="I32" s="155" t="s">
        <v>300</v>
      </c>
      <c r="J32" s="155">
        <f>VLOOKUP($A$11,'[1]6.2. отчет'!$D:$FK,132,0)</f>
        <v>0.40146694999999999</v>
      </c>
      <c r="K32" s="155">
        <f>IF(J32=0,0,VLOOKUP($A$11,'[1]6.2. отчет'!$D:$FK,157,0))</f>
        <v>0</v>
      </c>
    </row>
    <row r="33" spans="1:11" s="38" customFormat="1" x14ac:dyDescent="0.25">
      <c r="A33" s="15" t="s">
        <v>105</v>
      </c>
      <c r="B33" s="7" t="s">
        <v>104</v>
      </c>
      <c r="C33" s="155" t="str">
        <f>VLOOKUP($A$11,'[1]6.2. отчет'!$D:$DB,102,0)</f>
        <v>нд</v>
      </c>
      <c r="D33" s="155">
        <v>8.6410217300000003</v>
      </c>
      <c r="E33" s="155">
        <f t="shared" ref="E33:E34" si="4">F33+G33</f>
        <v>8.9016000000000002</v>
      </c>
      <c r="F33" s="155">
        <v>8.9016000000000002</v>
      </c>
      <c r="G33" s="155">
        <f>VLOOKUP($A$11,'[1]6.2. отчет'!$D:$FK,113,0)</f>
        <v>0</v>
      </c>
      <c r="H33" s="155" t="s">
        <v>300</v>
      </c>
      <c r="I33" s="155" t="s">
        <v>300</v>
      </c>
      <c r="J33" s="155">
        <f>VLOOKUP($A$11,'[1]6.2. отчет'!$D:$FK,133,0)</f>
        <v>8.6410217300000003</v>
      </c>
      <c r="K33" s="155">
        <f>IF(J33=0,0,VLOOKUP($A$11,'[1]6.2. отчет'!$D:$FK,158,0))</f>
        <v>0</v>
      </c>
    </row>
    <row r="34" spans="1:11" s="38" customFormat="1" x14ac:dyDescent="0.25">
      <c r="A34" s="15" t="s">
        <v>103</v>
      </c>
      <c r="B34" s="7" t="s">
        <v>102</v>
      </c>
      <c r="C34" s="155" t="str">
        <f>VLOOKUP($A$11,'[1]6.2. отчет'!$D:$DB,103,0)</f>
        <v>нд</v>
      </c>
      <c r="D34" s="155">
        <v>0.86412754000000003</v>
      </c>
      <c r="E34" s="155">
        <f t="shared" si="4"/>
        <v>0.89015999999999973</v>
      </c>
      <c r="F34" s="155">
        <v>0.89015999999999973</v>
      </c>
      <c r="G34" s="155">
        <f>VLOOKUP($A$11,'[1]6.2. отчет'!$D:$FK,114,0)</f>
        <v>0</v>
      </c>
      <c r="H34" s="155" t="s">
        <v>300</v>
      </c>
      <c r="I34" s="155" t="s">
        <v>300</v>
      </c>
      <c r="J34" s="155">
        <f>VLOOKUP($A$11,'[1]6.2. отчет'!$D:$FK,134,0)</f>
        <v>0.86412754000000003</v>
      </c>
      <c r="K34" s="155">
        <f>IF(J34=0,0,VLOOKUP($A$11,'[1]6.2. отчет'!$D:$FK,159,0))</f>
        <v>0</v>
      </c>
    </row>
    <row r="35" spans="1:11" s="95" customFormat="1" ht="31.5" x14ac:dyDescent="0.25">
      <c r="A35" s="15" t="s">
        <v>51</v>
      </c>
      <c r="B35" s="14" t="s">
        <v>101</v>
      </c>
      <c r="C35" s="155"/>
      <c r="D35" s="155"/>
      <c r="E35" s="155"/>
      <c r="F35" s="155"/>
      <c r="G35" s="155"/>
      <c r="H35" s="155"/>
      <c r="I35" s="156"/>
      <c r="J35" s="155"/>
      <c r="K35" s="156"/>
    </row>
    <row r="36" spans="1:11" s="38" customFormat="1" ht="31.5" x14ac:dyDescent="0.25">
      <c r="A36" s="13" t="s">
        <v>100</v>
      </c>
      <c r="B36" s="59" t="s">
        <v>99</v>
      </c>
      <c r="C36" s="155" t="str">
        <f>IF('1. паспорт местоположение'!$C$22="Прочие инвестиционные проекты",0,VLOOKUP($A$11,'[1]6.2. отчет'!$D:$FX,168,0))</f>
        <v>нд</v>
      </c>
      <c r="D36" s="183">
        <v>0</v>
      </c>
      <c r="E36" s="155" t="str">
        <f>F36</f>
        <v>нд</v>
      </c>
      <c r="F36" s="155" t="str">
        <f>H36</f>
        <v>нд</v>
      </c>
      <c r="G36" s="155">
        <f>IF('1. паспорт местоположение'!$C$22="Прочие инвестиционные проекты",0,VLOOKUP($A$11,'[1]6.2. отчет'!$D:$GJ,180,0))</f>
        <v>0</v>
      </c>
      <c r="H36" s="155" t="str">
        <f>IF('1. паспорт местоположение'!$C$22="Прочие инвестиционные проекты",0,VLOOKUP($A$11,'[1]6.2. отчет'!$D:$AGO,191,0))</f>
        <v>нд</v>
      </c>
      <c r="I36" s="155" t="str">
        <f>IF('1. паспорт местоположение'!$C$22="Прочие инвестиционные проекты",0,VLOOKUP($A$11,'[1]6.2. отчет'!$D:$AGO,246,0))</f>
        <v>нд</v>
      </c>
      <c r="J36" s="155">
        <f>IF('1. паспорт местоположение'!$C$22="Прочие инвестиционные проекты",0,VLOOKUP($A$11,'[1]6.2. отчет'!$D:$AGO,257,0))</f>
        <v>0</v>
      </c>
      <c r="K36" s="155">
        <f>IF('1. паспорт местоположение'!$C$22="Прочие инвестиционные проекты",0,VLOOKUP($A$11,'[1]6.2. отчет'!$D:$AGO,312,0))</f>
        <v>0</v>
      </c>
    </row>
    <row r="37" spans="1:11" s="38" customFormat="1" x14ac:dyDescent="0.25">
      <c r="A37" s="13" t="s">
        <v>98</v>
      </c>
      <c r="B37" s="59" t="s">
        <v>88</v>
      </c>
      <c r="C37" s="155" t="str">
        <f>IF('1. паспорт местоположение'!$C$22="Прочие инвестиционные проекты",0,VLOOKUP($A$11,'[1]6.2. отчет'!$D:$FX,169,0))</f>
        <v>нд</v>
      </c>
      <c r="D37" s="183">
        <f>VLOOKUP($A$11,'[1]6.2. отчет'!$D:$OZ,410,0)</f>
        <v>0</v>
      </c>
      <c r="E37" s="155" t="str">
        <f t="shared" ref="E37:E57" si="5">F37</f>
        <v>нд</v>
      </c>
      <c r="F37" s="155" t="str">
        <f t="shared" ref="F37:F42" si="6">H37</f>
        <v>нд</v>
      </c>
      <c r="G37" s="155">
        <f>IF('1. паспорт местоположение'!$C$22="Прочие инвестиционные проекты",0,VLOOKUP($A$11,'[1]6.2. отчет'!$D:$GJ,181,0))</f>
        <v>0</v>
      </c>
      <c r="H37" s="155" t="str">
        <f>IF('1. паспорт местоположение'!$C$22="Прочие инвестиционные проекты",0,VLOOKUP($A$11,'[1]6.2. отчет'!$D:$AGO,192,0))</f>
        <v>нд</v>
      </c>
      <c r="I37" s="155" t="str">
        <f>IF('1. паспорт местоположение'!$C$22="Прочие инвестиционные проекты",0,VLOOKUP($A$11,'[1]6.2. отчет'!$D:$AGO,247,0))</f>
        <v>нд</v>
      </c>
      <c r="J37" s="155">
        <f>IF('1. паспорт местоположение'!$C$22="Прочие инвестиционные проекты",0,VLOOKUP($A$11,'[1]6.2. отчет'!$D:$AGO,258,0))</f>
        <v>0</v>
      </c>
      <c r="K37" s="155">
        <f>IF('1. паспорт местоположение'!$C$22="Прочие инвестиционные проекты",0,VLOOKUP($A$11,'[1]6.2. отчет'!$D:$AGO,313,0))</f>
        <v>0</v>
      </c>
    </row>
    <row r="38" spans="1:11" s="38" customFormat="1" x14ac:dyDescent="0.25">
      <c r="A38" s="13" t="s">
        <v>97</v>
      </c>
      <c r="B38" s="59" t="s">
        <v>86</v>
      </c>
      <c r="C38" s="155" t="str">
        <f>IF('1. паспорт местоположение'!$C$22="Прочие инвестиционные проекты",0,VLOOKUP($A$11,'[1]6.2. отчет'!$D:$FX,170,0))</f>
        <v>нд</v>
      </c>
      <c r="D38" s="183">
        <f>VLOOKUP($A$11,'[1]6.2. отчет'!$D:$OZ,411,0)</f>
        <v>0</v>
      </c>
      <c r="E38" s="155" t="str">
        <f t="shared" si="5"/>
        <v>нд</v>
      </c>
      <c r="F38" s="155" t="str">
        <f t="shared" si="6"/>
        <v>нд</v>
      </c>
      <c r="G38" s="155">
        <f>IF('1. паспорт местоположение'!$C$22="Прочие инвестиционные проекты",0,VLOOKUP($A$11,'[1]6.2. отчет'!$D:$GJ,182,0))</f>
        <v>0</v>
      </c>
      <c r="H38" s="155" t="str">
        <f>IF('1. паспорт местоположение'!$C$22="Прочие инвестиционные проекты",0,VLOOKUP($A$11,'[1]6.2. отчет'!$D:$AGO,193,0))</f>
        <v>нд</v>
      </c>
      <c r="I38" s="155" t="str">
        <f>IF('1. паспорт местоположение'!$C$22="Прочие инвестиционные проекты",0,VLOOKUP($A$11,'[1]6.2. отчет'!$D:$AGO,248,0))</f>
        <v>нд</v>
      </c>
      <c r="J38" s="155">
        <f>IF('1. паспорт местоположение'!$C$22="Прочие инвестиционные проекты",0,VLOOKUP($A$11,'[1]6.2. отчет'!$D:$AGO,259,0))</f>
        <v>0</v>
      </c>
      <c r="K38" s="155">
        <f>IF('1. паспорт местоположение'!$C$22="Прочие инвестиционные проекты",0,VLOOKUP($A$11,'[1]6.2. отчет'!$D:$AGO,314,0))</f>
        <v>0</v>
      </c>
    </row>
    <row r="39" spans="1:11" s="38" customFormat="1" ht="31.5" x14ac:dyDescent="0.25">
      <c r="A39" s="13" t="s">
        <v>96</v>
      </c>
      <c r="B39" s="7" t="s">
        <v>84</v>
      </c>
      <c r="C39" s="155" t="str">
        <f>IF('1. паспорт местоположение'!$C$22="Прочие инвестиционные проекты",0,VLOOKUP($A$11,'[1]6.2. отчет'!$D:$FX,172,0))</f>
        <v>нд</v>
      </c>
      <c r="D39" s="183">
        <f>VLOOKUP($A$11,'[1]6.2. отчет'!$D:$OZ,409,0)</f>
        <v>0</v>
      </c>
      <c r="E39" s="155" t="str">
        <f t="shared" si="5"/>
        <v>нд</v>
      </c>
      <c r="F39" s="155" t="str">
        <f t="shared" si="6"/>
        <v>нд</v>
      </c>
      <c r="G39" s="155">
        <f>IF('1. паспорт местоположение'!$C$22="Прочие инвестиционные проекты",0,VLOOKUP($A$11,'[1]6.2. отчет'!$D:$GJ,184,0))</f>
        <v>0</v>
      </c>
      <c r="H39" s="155" t="str">
        <f>IF('1. паспорт местоположение'!$C$22="Прочие инвестиционные проекты",0,VLOOKUP($A$11,'[1]6.2. отчет'!$D:$AGO,195,0))</f>
        <v>нд</v>
      </c>
      <c r="I39" s="155" t="str">
        <f>IF('1. паспорт местоположение'!$C$22="Прочие инвестиционные проекты",0,VLOOKUP($A$11,'[1]6.2. отчет'!$D:$AGO,250,0))</f>
        <v>нд</v>
      </c>
      <c r="J39" s="155">
        <f>IF('1. паспорт местоположение'!$C$22="Прочие инвестиционные проекты",0,VLOOKUP($A$11,'[1]6.2. отчет'!$D:$AGO,261,0))</f>
        <v>0</v>
      </c>
      <c r="K39" s="155">
        <f>IF('1. паспорт местоположение'!$C$22="Прочие инвестиционные проекты",0,VLOOKUP($A$11,'[1]6.2. отчет'!$D:$AGO,316,0))</f>
        <v>0</v>
      </c>
    </row>
    <row r="40" spans="1:11" s="38" customFormat="1" ht="31.5" x14ac:dyDescent="0.25">
      <c r="A40" s="13" t="s">
        <v>95</v>
      </c>
      <c r="B40" s="7" t="s">
        <v>82</v>
      </c>
      <c r="C40" s="155" t="str">
        <f>IF('1. паспорт местоположение'!$C$22="Прочие инвестиционные проекты",0,VLOOKUP($A$11,'[1]6.2. отчет'!$D:$FX,173,0))</f>
        <v>нд</v>
      </c>
      <c r="D40" s="183">
        <v>0</v>
      </c>
      <c r="E40" s="155" t="str">
        <f t="shared" si="5"/>
        <v>нд</v>
      </c>
      <c r="F40" s="155" t="str">
        <f t="shared" si="6"/>
        <v>нд</v>
      </c>
      <c r="G40" s="155">
        <f>IF('1. паспорт местоположение'!$C$22="Прочие инвестиционные проекты",0,VLOOKUP($A$11,'[1]6.2. отчет'!$D:$GJ,185,0))</f>
        <v>0</v>
      </c>
      <c r="H40" s="155" t="str">
        <f>IF('1. паспорт местоположение'!$C$22="Прочие инвестиционные проекты",0,VLOOKUP($A$11,'[1]6.2. отчет'!$D:$AGO,196,0))</f>
        <v>нд</v>
      </c>
      <c r="I40" s="155" t="str">
        <f>IF('1. паспорт местоположение'!$C$22="Прочие инвестиционные проекты",0,VLOOKUP($A$11,'[1]6.2. отчет'!$D:$AGO,251,0))</f>
        <v>нд</v>
      </c>
      <c r="J40" s="155">
        <f>IF('1. паспорт местоположение'!$C$22="Прочие инвестиционные проекты",0,VLOOKUP($A$11,'[1]6.2. отчет'!$D:$AGO,262,0))</f>
        <v>0</v>
      </c>
      <c r="K40" s="155">
        <f>IF('1. паспорт местоположение'!$C$22="Прочие инвестиционные проекты",0,VLOOKUP($A$11,'[1]6.2. отчет'!$D:$AGO,317,0))</f>
        <v>0</v>
      </c>
    </row>
    <row r="41" spans="1:11" s="38" customFormat="1" x14ac:dyDescent="0.25">
      <c r="A41" s="13" t="s">
        <v>94</v>
      </c>
      <c r="B41" s="7" t="s">
        <v>80</v>
      </c>
      <c r="C41" s="155" t="str">
        <f>IF('1. паспорт местоположение'!$C$22="Прочие инвестиционные проекты",0,VLOOKUP($A$11,'[1]6.2. отчет'!$D:$FX,174,0))</f>
        <v>нд</v>
      </c>
      <c r="D41" s="183">
        <v>0</v>
      </c>
      <c r="E41" s="155" t="str">
        <f t="shared" si="5"/>
        <v>нд</v>
      </c>
      <c r="F41" s="155" t="str">
        <f t="shared" si="6"/>
        <v>нд</v>
      </c>
      <c r="G41" s="155">
        <f>IF('1. паспорт местоположение'!$C$22="Прочие инвестиционные проекты",0,VLOOKUP($A$11,'[1]6.2. отчет'!$D:$GJ,186,0))</f>
        <v>0</v>
      </c>
      <c r="H41" s="155" t="str">
        <f>IF('1. паспорт местоположение'!$C$22="Прочие инвестиционные проекты",0,VLOOKUP($A$11,'[1]6.2. отчет'!$D:$AGO,197,0))</f>
        <v>нд</v>
      </c>
      <c r="I41" s="155" t="str">
        <f>IF('1. паспорт местоположение'!$C$22="Прочие инвестиционные проекты",0,VLOOKUP($A$11,'[1]6.2. отчет'!$D:$AGO,252,0))</f>
        <v>нд</v>
      </c>
      <c r="J41" s="155">
        <f>IF('1. паспорт местоположение'!$C$22="Прочие инвестиционные проекты",0,VLOOKUP($A$11,'[1]6.2. отчет'!$D:$AGO,263,0))</f>
        <v>0</v>
      </c>
      <c r="K41" s="155">
        <f>IF('1. паспорт местоположение'!$C$22="Прочие инвестиционные проекты",0,VLOOKUP($A$11,'[1]6.2. отчет'!$D:$AGO,318,0))</f>
        <v>0</v>
      </c>
    </row>
    <row r="42" spans="1:11" s="38" customFormat="1" x14ac:dyDescent="0.25">
      <c r="A42" s="13" t="s">
        <v>93</v>
      </c>
      <c r="B42" s="59" t="s">
        <v>448</v>
      </c>
      <c r="C42" s="155" t="str">
        <f>IF('1. паспорт местоположение'!$C$22="Прочие инвестиционные проекты",0,VLOOKUP($A$11,'[1]6.2. отчет'!$D:$FX,177,0))</f>
        <v>нд</v>
      </c>
      <c r="D42" s="183">
        <f>VLOOKUP($A$11,'[1]6.2. отчет'!$D:$OZ,412,0)</f>
        <v>0</v>
      </c>
      <c r="E42" s="155" t="str">
        <f t="shared" si="5"/>
        <v>нд</v>
      </c>
      <c r="F42" s="155" t="str">
        <f t="shared" si="6"/>
        <v>нд</v>
      </c>
      <c r="G42" s="155">
        <f>IF('1. паспорт местоположение'!$C$22="Прочие инвестиционные проекты",0,VLOOKUP($A$11,'[1]6.2. отчет'!$D:$GJ,189,0))</f>
        <v>0</v>
      </c>
      <c r="H42" s="155" t="str">
        <f>IF('1. паспорт местоположение'!$C$22="Прочие инвестиционные проекты",0,VLOOKUP($A$11,'[1]6.2. отчет'!$D:$AGO,200,0))</f>
        <v>нд</v>
      </c>
      <c r="I42" s="155" t="str">
        <f>IF('1. паспорт местоположение'!$C$22="Прочие инвестиционные проекты",0,VLOOKUP($A$11,'[1]6.2. отчет'!$D:$AGO,255,0))</f>
        <v>нд</v>
      </c>
      <c r="J42" s="155">
        <f>IF('1. паспорт местоположение'!$C$22="Прочие инвестиционные проекты",0,VLOOKUP($A$11,'[1]6.2. отчет'!$D:$AGO,266,0))</f>
        <v>0</v>
      </c>
      <c r="K42" s="155">
        <f>IF('1. паспорт местоположение'!$C$22="Прочие инвестиционные проекты",0,VLOOKUP($A$11,'[1]6.2. отчет'!$D:$AGO,321,0))</f>
        <v>0</v>
      </c>
    </row>
    <row r="43" spans="1:11" s="95" customFormat="1" x14ac:dyDescent="0.25">
      <c r="A43" s="15" t="s">
        <v>50</v>
      </c>
      <c r="B43" s="14" t="s">
        <v>92</v>
      </c>
      <c r="C43" s="155"/>
      <c r="D43" s="183"/>
      <c r="E43" s="155"/>
      <c r="F43" s="155"/>
      <c r="G43" s="155"/>
      <c r="H43" s="155"/>
      <c r="I43" s="156"/>
      <c r="J43" s="155"/>
      <c r="K43" s="156"/>
    </row>
    <row r="44" spans="1:11" s="38" customFormat="1" x14ac:dyDescent="0.25">
      <c r="A44" s="13" t="s">
        <v>91</v>
      </c>
      <c r="B44" s="7" t="s">
        <v>90</v>
      </c>
      <c r="C44" s="155" t="str">
        <f>VLOOKUP($A$11,'[1]6.2. отчет'!$D:$FX,168,0)</f>
        <v>нд</v>
      </c>
      <c r="D44" s="183">
        <v>0</v>
      </c>
      <c r="E44" s="155" t="str">
        <f t="shared" si="5"/>
        <v>нд</v>
      </c>
      <c r="F44" s="155" t="str">
        <f>H44</f>
        <v>нд</v>
      </c>
      <c r="G44" s="155">
        <f>VLOOKUP($A$11,'[1]6.2. отчет'!$D:$GJ,180,0)</f>
        <v>0</v>
      </c>
      <c r="H44" s="155" t="str">
        <f>VLOOKUP($A$11,'[1]6.2. отчет'!$D:$AGO,191,0)</f>
        <v>нд</v>
      </c>
      <c r="I44" s="155" t="str">
        <f>VLOOKUP($A$11,'[1]6.2. отчет'!$D:$AGO,246,0)</f>
        <v>нд</v>
      </c>
      <c r="J44" s="155">
        <f>VLOOKUP($A$11,'[1]6.2. отчет'!$D:$AGO,257,0)</f>
        <v>0</v>
      </c>
      <c r="K44" s="155">
        <f>VLOOKUP($A$11,'[1]6.2. отчет'!$D:$AGO,312,0)</f>
        <v>0</v>
      </c>
    </row>
    <row r="45" spans="1:11" s="38" customFormat="1" x14ac:dyDescent="0.25">
      <c r="A45" s="13" t="s">
        <v>89</v>
      </c>
      <c r="B45" s="7" t="s">
        <v>88</v>
      </c>
      <c r="C45" s="155" t="str">
        <f>VLOOKUP($A$11,'[1]6.2. отчет'!$D:$FX,169,0)</f>
        <v>нд</v>
      </c>
      <c r="D45" s="183">
        <f>VLOOKUP($A$11,'[1]6.2. отчет'!$D:$OZ,410,0)</f>
        <v>0</v>
      </c>
      <c r="E45" s="155" t="str">
        <f t="shared" si="5"/>
        <v>нд</v>
      </c>
      <c r="F45" s="155" t="str">
        <f t="shared" ref="F45:F50" si="7">H45</f>
        <v>нд</v>
      </c>
      <c r="G45" s="155">
        <f>VLOOKUP($A$11,'[1]6.2. отчет'!$D:$GJ,181,0)</f>
        <v>0</v>
      </c>
      <c r="H45" s="155" t="str">
        <f>VLOOKUP($A$11,'[1]6.2. отчет'!$D:$AGO,192,0)</f>
        <v>нд</v>
      </c>
      <c r="I45" s="155" t="str">
        <f>VLOOKUP($A$11,'[1]6.2. отчет'!$D:$AGO,247,0)</f>
        <v>нд</v>
      </c>
      <c r="J45" s="155">
        <f>VLOOKUP($A$11,'[1]6.2. отчет'!$D:$AGO,258,0)</f>
        <v>0</v>
      </c>
      <c r="K45" s="155">
        <f>VLOOKUP($A$11,'[1]6.2. отчет'!$D:$AGO,313,0)</f>
        <v>0</v>
      </c>
    </row>
    <row r="46" spans="1:11" s="38" customFormat="1" x14ac:dyDescent="0.25">
      <c r="A46" s="13" t="s">
        <v>87</v>
      </c>
      <c r="B46" s="7" t="s">
        <v>86</v>
      </c>
      <c r="C46" s="155" t="str">
        <f>VLOOKUP($A$11,'[1]6.2. отчет'!$D:$FX,170,0)</f>
        <v>нд</v>
      </c>
      <c r="D46" s="183">
        <f>VLOOKUP($A$11,'[1]6.2. отчет'!$D:$OZ,411,0)</f>
        <v>0</v>
      </c>
      <c r="E46" s="155" t="str">
        <f t="shared" si="5"/>
        <v>нд</v>
      </c>
      <c r="F46" s="155" t="str">
        <f t="shared" si="7"/>
        <v>нд</v>
      </c>
      <c r="G46" s="155">
        <f>VLOOKUP($A$11,'[1]6.2. отчет'!$D:$GJ,182,0)</f>
        <v>0</v>
      </c>
      <c r="H46" s="155" t="str">
        <f>VLOOKUP($A$11,'[1]6.2. отчет'!$D:$AGO,193,0)</f>
        <v>нд</v>
      </c>
      <c r="I46" s="155" t="str">
        <f>VLOOKUP($A$11,'[1]6.2. отчет'!$D:$AGO,248,0)</f>
        <v>нд</v>
      </c>
      <c r="J46" s="155">
        <f>VLOOKUP($A$11,'[1]6.2. отчет'!$D:$AGO,259,0)</f>
        <v>0</v>
      </c>
      <c r="K46" s="155">
        <f>VLOOKUP($A$11,'[1]6.2. отчет'!$D:$AGO,314,0)</f>
        <v>0</v>
      </c>
    </row>
    <row r="47" spans="1:11" s="38" customFormat="1" ht="31.5" x14ac:dyDescent="0.25">
      <c r="A47" s="13" t="s">
        <v>85</v>
      </c>
      <c r="B47" s="7" t="s">
        <v>84</v>
      </c>
      <c r="C47" s="155" t="str">
        <f>VLOOKUP($A$11,'[1]6.2. отчет'!$D:$FX,172,0)</f>
        <v>нд</v>
      </c>
      <c r="D47" s="183">
        <f>VLOOKUP($A$11,'[1]6.2. отчет'!$D:$OZ,409,0)</f>
        <v>0</v>
      </c>
      <c r="E47" s="155" t="str">
        <f t="shared" si="5"/>
        <v>нд</v>
      </c>
      <c r="F47" s="155" t="str">
        <f t="shared" si="7"/>
        <v>нд</v>
      </c>
      <c r="G47" s="155">
        <f>VLOOKUP($A$11,'[1]6.2. отчет'!$D:$GJ,184,0)</f>
        <v>0</v>
      </c>
      <c r="H47" s="155" t="str">
        <f>VLOOKUP($A$11,'[1]6.2. отчет'!$D:$AGO,195,0)</f>
        <v>нд</v>
      </c>
      <c r="I47" s="155" t="str">
        <f>VLOOKUP($A$11,'[1]6.2. отчет'!$D:$AGO,250,0)</f>
        <v>нд</v>
      </c>
      <c r="J47" s="155">
        <f>VLOOKUP($A$11,'[1]6.2. отчет'!$D:$AGO,261,0)</f>
        <v>0</v>
      </c>
      <c r="K47" s="155">
        <f>VLOOKUP($A$11,'[1]6.2. отчет'!$D:$AGO,316,0)</f>
        <v>0</v>
      </c>
    </row>
    <row r="48" spans="1:11" s="38" customFormat="1" ht="31.5" x14ac:dyDescent="0.25">
      <c r="A48" s="13" t="s">
        <v>83</v>
      </c>
      <c r="B48" s="7" t="s">
        <v>82</v>
      </c>
      <c r="C48" s="155" t="str">
        <f>VLOOKUP($A$11,'[1]6.2. отчет'!$D:$FX,173,0)</f>
        <v>нд</v>
      </c>
      <c r="D48" s="183">
        <v>0</v>
      </c>
      <c r="E48" s="155" t="str">
        <f t="shared" si="5"/>
        <v>нд</v>
      </c>
      <c r="F48" s="155" t="str">
        <f t="shared" si="7"/>
        <v>нд</v>
      </c>
      <c r="G48" s="155">
        <f>VLOOKUP($A$11,'[1]6.2. отчет'!$D:$GJ,185,0)</f>
        <v>0</v>
      </c>
      <c r="H48" s="155" t="str">
        <f>VLOOKUP($A$11,'[1]6.2. отчет'!$D:$AGO,196,0)</f>
        <v>нд</v>
      </c>
      <c r="I48" s="155" t="str">
        <f>VLOOKUP($A$11,'[1]6.2. отчет'!$D:$AGO,251,0)</f>
        <v>нд</v>
      </c>
      <c r="J48" s="155">
        <f>VLOOKUP($A$11,'[1]6.2. отчет'!$D:$AGO,262,0)</f>
        <v>0</v>
      </c>
      <c r="K48" s="155">
        <f>VLOOKUP($A$11,'[1]6.2. отчет'!$D:$AGO,317,0)</f>
        <v>0</v>
      </c>
    </row>
    <row r="49" spans="1:11" s="38" customFormat="1" x14ac:dyDescent="0.25">
      <c r="A49" s="13" t="s">
        <v>81</v>
      </c>
      <c r="B49" s="7" t="s">
        <v>80</v>
      </c>
      <c r="C49" s="155" t="str">
        <f>VLOOKUP($A$11,'[1]6.2. отчет'!$D:$FX,174,0)</f>
        <v>нд</v>
      </c>
      <c r="D49" s="183">
        <v>0</v>
      </c>
      <c r="E49" s="155" t="str">
        <f t="shared" si="5"/>
        <v>нд</v>
      </c>
      <c r="F49" s="155" t="str">
        <f t="shared" si="7"/>
        <v>нд</v>
      </c>
      <c r="G49" s="155">
        <f>VLOOKUP($A$11,'[1]6.2. отчет'!$D:$GJ,186,0)</f>
        <v>0</v>
      </c>
      <c r="H49" s="155" t="str">
        <f>VLOOKUP($A$11,'[1]6.2. отчет'!$D:$AGO,197,0)</f>
        <v>нд</v>
      </c>
      <c r="I49" s="155" t="str">
        <f>VLOOKUP($A$11,'[1]6.2. отчет'!$D:$AGO,252,0)</f>
        <v>нд</v>
      </c>
      <c r="J49" s="155">
        <f>VLOOKUP($A$11,'[1]6.2. отчет'!$D:$AGO,263,0)</f>
        <v>0</v>
      </c>
      <c r="K49" s="155">
        <f>VLOOKUP($A$11,'[1]6.2. отчет'!$D:$AGO,318,0)</f>
        <v>0</v>
      </c>
    </row>
    <row r="50" spans="1:11" s="38" customFormat="1" x14ac:dyDescent="0.25">
      <c r="A50" s="13" t="s">
        <v>79</v>
      </c>
      <c r="B50" s="7" t="s">
        <v>448</v>
      </c>
      <c r="C50" s="155" t="str">
        <f>VLOOKUP($A$11,'[1]6.2. отчет'!$D:$FX,175,0)</f>
        <v>нд</v>
      </c>
      <c r="D50" s="183">
        <f>VLOOKUP($A$11,'[1]6.2. отчет'!$D:$OZ,412,0)</f>
        <v>0</v>
      </c>
      <c r="E50" s="155" t="str">
        <f t="shared" si="5"/>
        <v>нд</v>
      </c>
      <c r="F50" s="155" t="str">
        <f t="shared" si="7"/>
        <v>нд</v>
      </c>
      <c r="G50" s="155">
        <f>VLOOKUP($A$11,'[1]6.2. отчет'!$D:$GJ,187,0)</f>
        <v>0</v>
      </c>
      <c r="H50" s="155" t="str">
        <f>VLOOKUP($A$11,'[1]6.2. отчет'!$D:$AGO,198,0)</f>
        <v>нд</v>
      </c>
      <c r="I50" s="155" t="str">
        <f>VLOOKUP($A$11,'[1]6.2. отчет'!$D:$AGO,253,0)</f>
        <v>нд</v>
      </c>
      <c r="J50" s="155">
        <f>VLOOKUP($A$11,'[1]6.2. отчет'!$D:$AGO,264,0)</f>
        <v>0</v>
      </c>
      <c r="K50" s="155">
        <f>VLOOKUP($A$11,'[1]6.2. отчет'!$D:$AGO,319,0)</f>
        <v>0</v>
      </c>
    </row>
    <row r="51" spans="1:11" s="95" customFormat="1" ht="31.5" x14ac:dyDescent="0.25">
      <c r="A51" s="15" t="s">
        <v>48</v>
      </c>
      <c r="B51" s="14" t="s">
        <v>78</v>
      </c>
      <c r="C51" s="155"/>
      <c r="D51" s="183"/>
      <c r="E51" s="155"/>
      <c r="F51" s="155"/>
      <c r="G51" s="155"/>
      <c r="H51" s="155"/>
      <c r="I51" s="155"/>
      <c r="J51" s="155"/>
      <c r="K51" s="155"/>
    </row>
    <row r="52" spans="1:11" s="38" customFormat="1" x14ac:dyDescent="0.25">
      <c r="A52" s="13" t="s">
        <v>77</v>
      </c>
      <c r="B52" s="7" t="s">
        <v>76</v>
      </c>
      <c r="C52" s="155" t="str">
        <f>VLOOKUP($A$11,'[1]6.2. отчет'!$D:$FX,167,0)</f>
        <v>нд</v>
      </c>
      <c r="D52" s="183">
        <f>VLOOKUP($A$11,'[1]6.2. отчет'!$D:$OZ,413,0)</f>
        <v>0</v>
      </c>
      <c r="E52" s="155" t="str">
        <f t="shared" si="5"/>
        <v>нд</v>
      </c>
      <c r="F52" s="155" t="str">
        <f>H52</f>
        <v>нд</v>
      </c>
      <c r="G52" s="155">
        <f>VLOOKUP($A$11,'[1]6.2. отчет'!$D:$GJ,179,0)</f>
        <v>0</v>
      </c>
      <c r="H52" s="155" t="str">
        <f>VLOOKUP($A$11,'[1]6.2. отчет'!$D:$AGO,190,0)</f>
        <v>нд</v>
      </c>
      <c r="I52" s="155" t="str">
        <f>VLOOKUP($A$11,'[1]6.2. отчет'!$D:$AGO,245,0)</f>
        <v>нд</v>
      </c>
      <c r="J52" s="155">
        <f>VLOOKUP($A$11,'[1]6.2. отчет'!$D:$AGO,256,0)</f>
        <v>0</v>
      </c>
      <c r="K52" s="155">
        <f>VLOOKUP($A$11,'[1]6.2. отчет'!$D:$AGO,311,0)</f>
        <v>0</v>
      </c>
    </row>
    <row r="53" spans="1:11" s="38" customFormat="1" x14ac:dyDescent="0.25">
      <c r="A53" s="13" t="s">
        <v>75</v>
      </c>
      <c r="B53" s="7" t="s">
        <v>69</v>
      </c>
      <c r="C53" s="155" t="str">
        <f>VLOOKUP($A$11,'[1]6.2. отчет'!$D:$FX,168,0)</f>
        <v>нд</v>
      </c>
      <c r="D53" s="183">
        <v>0</v>
      </c>
      <c r="E53" s="155" t="str">
        <f t="shared" si="5"/>
        <v>нд</v>
      </c>
      <c r="F53" s="155" t="str">
        <f t="shared" ref="F53:F57" si="8">H53</f>
        <v>нд</v>
      </c>
      <c r="G53" s="155">
        <f>VLOOKUP($A$11,'[1]6.2. отчет'!$D:$GJ,180,0)</f>
        <v>0</v>
      </c>
      <c r="H53" s="155" t="str">
        <f>VLOOKUP($A$11,'[1]6.2. отчет'!$D:$AGO,191,0)</f>
        <v>нд</v>
      </c>
      <c r="I53" s="155" t="str">
        <f>VLOOKUP($A$11,'[1]6.2. отчет'!$D:$AGO,246,0)</f>
        <v>нд</v>
      </c>
      <c r="J53" s="155">
        <f>VLOOKUP($A$11,'[1]6.2. отчет'!$D:$AGO,257,0)</f>
        <v>0</v>
      </c>
      <c r="K53" s="155">
        <f>VLOOKUP($A$11,'[1]6.2. отчет'!$D:$AGO,312,0)</f>
        <v>0</v>
      </c>
    </row>
    <row r="54" spans="1:11" s="38" customFormat="1" x14ac:dyDescent="0.25">
      <c r="A54" s="13" t="s">
        <v>74</v>
      </c>
      <c r="B54" s="59" t="s">
        <v>68</v>
      </c>
      <c r="C54" s="155" t="str">
        <f>VLOOKUP($A$11,'[1]6.2. отчет'!$D:$FX,169,0)</f>
        <v>нд</v>
      </c>
      <c r="D54" s="183">
        <f>VLOOKUP($A$11,'[1]6.2. отчет'!$D:$OZ,410,0)</f>
        <v>0</v>
      </c>
      <c r="E54" s="155" t="str">
        <f t="shared" si="5"/>
        <v>нд</v>
      </c>
      <c r="F54" s="155" t="str">
        <f t="shared" si="8"/>
        <v>нд</v>
      </c>
      <c r="G54" s="155">
        <f>VLOOKUP($A$11,'[1]6.2. отчет'!$D:$GJ,181,0)</f>
        <v>0</v>
      </c>
      <c r="H54" s="155" t="str">
        <f>VLOOKUP($A$11,'[1]6.2. отчет'!$D:$AGO,192,0)</f>
        <v>нд</v>
      </c>
      <c r="I54" s="155" t="str">
        <f>VLOOKUP($A$11,'[1]6.2. отчет'!$D:$AGO,247,0)</f>
        <v>нд</v>
      </c>
      <c r="J54" s="155">
        <f>VLOOKUP($A$11,'[1]6.2. отчет'!$D:$AGO,258,0)</f>
        <v>0</v>
      </c>
      <c r="K54" s="155">
        <f>VLOOKUP($A$11,'[1]6.2. отчет'!$D:$AGO,313,0)</f>
        <v>0</v>
      </c>
    </row>
    <row r="55" spans="1:11" s="38" customFormat="1" x14ac:dyDescent="0.25">
      <c r="A55" s="13" t="s">
        <v>73</v>
      </c>
      <c r="B55" s="59" t="s">
        <v>67</v>
      </c>
      <c r="C55" s="155" t="str">
        <f>VLOOKUP($A$11,'[1]6.2. отчет'!$D:$FX,170,0)</f>
        <v>нд</v>
      </c>
      <c r="D55" s="183">
        <f>VLOOKUP($A$11,'[1]6.2. отчет'!$D:$OZ,411,0)</f>
        <v>0</v>
      </c>
      <c r="E55" s="155" t="str">
        <f t="shared" si="5"/>
        <v>нд</v>
      </c>
      <c r="F55" s="155" t="str">
        <f t="shared" si="8"/>
        <v>нд</v>
      </c>
      <c r="G55" s="155">
        <f>VLOOKUP($A$11,'[1]6.2. отчет'!$D:$GJ,182,0)</f>
        <v>0</v>
      </c>
      <c r="H55" s="155" t="str">
        <f>VLOOKUP($A$11,'[1]6.2. отчет'!$D:$AGO,193,0)</f>
        <v>нд</v>
      </c>
      <c r="I55" s="155" t="str">
        <f>VLOOKUP($A$11,'[1]6.2. отчет'!$D:$AGO,248,0)</f>
        <v>нд</v>
      </c>
      <c r="J55" s="155">
        <f>VLOOKUP($A$11,'[1]6.2. отчет'!$D:$AGO,259,0)</f>
        <v>0</v>
      </c>
      <c r="K55" s="155">
        <f>VLOOKUP($A$11,'[1]6.2. отчет'!$D:$AGO,314,0)</f>
        <v>0</v>
      </c>
    </row>
    <row r="56" spans="1:11" s="38" customFormat="1" x14ac:dyDescent="0.25">
      <c r="A56" s="13" t="s">
        <v>72</v>
      </c>
      <c r="B56" s="59" t="s">
        <v>66</v>
      </c>
      <c r="C56" s="155" t="str">
        <f>VLOOKUP($A$11,'[1]6.2. отчет'!$D:$FX,171,0)</f>
        <v>нд</v>
      </c>
      <c r="D56" s="183">
        <f>VLOOKUP($A$11,'[1]6.2. отчет'!$D:$OZ,409,0)</f>
        <v>0</v>
      </c>
      <c r="E56" s="155" t="str">
        <f t="shared" si="5"/>
        <v>нд</v>
      </c>
      <c r="F56" s="155" t="str">
        <f t="shared" si="8"/>
        <v>нд</v>
      </c>
      <c r="G56" s="155">
        <f>VLOOKUP($A$11,'[1]6.2. отчет'!$D:$GJ,183,0)</f>
        <v>0</v>
      </c>
      <c r="H56" s="155" t="str">
        <f>VLOOKUP($A$11,'[1]6.2. отчет'!$D:$AGO,194,0)</f>
        <v>нд</v>
      </c>
      <c r="I56" s="155" t="str">
        <f>VLOOKUP($A$11,'[1]6.2. отчет'!$D:$AGO,249,0)</f>
        <v>нд</v>
      </c>
      <c r="J56" s="155">
        <f>VLOOKUP($A$11,'[1]6.2. отчет'!$D:$AGO,260,0)</f>
        <v>0</v>
      </c>
      <c r="K56" s="155">
        <f>VLOOKUP($A$11,'[1]6.2. отчет'!$D:$AGO,315,0)</f>
        <v>0</v>
      </c>
    </row>
    <row r="57" spans="1:11" s="38" customFormat="1" x14ac:dyDescent="0.25">
      <c r="A57" s="13" t="s">
        <v>71</v>
      </c>
      <c r="B57" s="7" t="s">
        <v>448</v>
      </c>
      <c r="C57" s="155" t="str">
        <f>VLOOKUP($A$11,'[1]6.2. отчет'!$D:$FX,175,0)</f>
        <v>нд</v>
      </c>
      <c r="D57" s="183">
        <f>VLOOKUP($A$11,'[1]6.2. отчет'!$D:$OZ,412,0)</f>
        <v>0</v>
      </c>
      <c r="E57" s="155" t="str">
        <f t="shared" si="5"/>
        <v>нд</v>
      </c>
      <c r="F57" s="155" t="str">
        <f t="shared" si="8"/>
        <v>нд</v>
      </c>
      <c r="G57" s="155">
        <f>VLOOKUP($A$11,'[1]6.2. отчет'!$D:$GJ,187,0)</f>
        <v>0</v>
      </c>
      <c r="H57" s="155" t="str">
        <f>VLOOKUP($A$11,'[1]6.2. отчет'!$D:$AGO,198,0)</f>
        <v>нд</v>
      </c>
      <c r="I57" s="155" t="str">
        <f>VLOOKUP($A$11,'[1]6.2. отчет'!$D:$AGO,253,0)</f>
        <v>нд</v>
      </c>
      <c r="J57" s="155">
        <f>VLOOKUP($A$11,'[1]6.2. отчет'!$D:$AGO,264,0)</f>
        <v>0</v>
      </c>
      <c r="K57" s="155">
        <f>VLOOKUP($A$11,'[1]6.2. отчет'!$D:$AGO,319,0)</f>
        <v>0</v>
      </c>
    </row>
    <row r="58" spans="1:11" s="95" customFormat="1" ht="31.5" x14ac:dyDescent="0.25">
      <c r="A58" s="15" t="s">
        <v>47</v>
      </c>
      <c r="B58" s="62" t="s">
        <v>165</v>
      </c>
      <c r="C58" s="155"/>
      <c r="D58" s="155"/>
      <c r="E58" s="155"/>
      <c r="F58" s="155"/>
      <c r="G58" s="155"/>
      <c r="H58" s="155"/>
      <c r="I58" s="155"/>
      <c r="J58" s="155"/>
      <c r="K58" s="155"/>
    </row>
    <row r="59" spans="1:11" s="38" customFormat="1" x14ac:dyDescent="0.25">
      <c r="A59" s="15" t="s">
        <v>45</v>
      </c>
      <c r="B59" s="14" t="s">
        <v>70</v>
      </c>
      <c r="C59" s="155"/>
      <c r="D59" s="155"/>
      <c r="E59" s="155"/>
      <c r="F59" s="155"/>
      <c r="G59" s="155"/>
      <c r="H59" s="155"/>
      <c r="I59" s="155"/>
      <c r="J59" s="155"/>
      <c r="K59" s="155"/>
    </row>
    <row r="60" spans="1:11" s="38" customFormat="1" x14ac:dyDescent="0.25">
      <c r="A60" s="13" t="s">
        <v>159</v>
      </c>
      <c r="B60" s="162" t="s">
        <v>90</v>
      </c>
      <c r="C60" s="155" t="str">
        <f>VLOOKUP($A$11,'[1]6.2. отчет'!$D:$AGO,326,0)</f>
        <v>нд</v>
      </c>
      <c r="D60" s="155">
        <f t="shared" ref="D60:D64" si="9">J60</f>
        <v>0</v>
      </c>
      <c r="E60" s="155" t="str">
        <f t="shared" ref="E60:E64" si="10">F60</f>
        <v>нд</v>
      </c>
      <c r="F60" s="155" t="str">
        <f t="shared" ref="F60:F64" si="11">C60</f>
        <v>нд</v>
      </c>
      <c r="G60" s="155">
        <f>VLOOKUP($A$11,'[1]6.2. отчет'!$D:$AGO,333,0)</f>
        <v>0</v>
      </c>
      <c r="H60" s="155" t="str">
        <f>VLOOKUP($A$11,'[1]6.2. отчет'!$D:$AGO,341,0)</f>
        <v>нд</v>
      </c>
      <c r="I60" s="155" t="str">
        <f>VLOOKUP($A$11,'[1]6.2. отчет'!$D:$AGO,366,0)</f>
        <v>нд</v>
      </c>
      <c r="J60" s="155">
        <f>VLOOKUP($A$11,'[1]6.2. отчет'!$D:$AGO,371,0)</f>
        <v>0</v>
      </c>
      <c r="K60" s="155">
        <f>VLOOKUP($A$11,'[1]6.2. отчет'!$D:$AGO,396,0)</f>
        <v>0</v>
      </c>
    </row>
    <row r="61" spans="1:11" s="38" customFormat="1" x14ac:dyDescent="0.25">
      <c r="A61" s="13" t="s">
        <v>160</v>
      </c>
      <c r="B61" s="162" t="s">
        <v>88</v>
      </c>
      <c r="C61" s="155" t="str">
        <f>VLOOKUP($A$11,'[1]6.2. отчет'!$D:$AGO,327,0)</f>
        <v>нд</v>
      </c>
      <c r="D61" s="155">
        <f t="shared" si="9"/>
        <v>0</v>
      </c>
      <c r="E61" s="155" t="str">
        <f t="shared" si="10"/>
        <v>нд</v>
      </c>
      <c r="F61" s="155" t="str">
        <f t="shared" si="11"/>
        <v>нд</v>
      </c>
      <c r="G61" s="155">
        <f>VLOOKUP($A$11,'[1]6.2. отчет'!$D:$AGO,334,0)</f>
        <v>0</v>
      </c>
      <c r="H61" s="155" t="str">
        <f>VLOOKUP($A$11,'[1]6.2. отчет'!$D:$AGO,338,0)</f>
        <v>нд</v>
      </c>
      <c r="I61" s="155" t="str">
        <f>VLOOKUP($A$11,'[1]6.2. отчет'!$D:$AGO,363,0)</f>
        <v>нд</v>
      </c>
      <c r="J61" s="155">
        <f>VLOOKUP($A$11,'[1]6.2. отчет'!$D:$AGO,368,0)</f>
        <v>0</v>
      </c>
      <c r="K61" s="155">
        <f>VLOOKUP($A$11,'[1]6.2. отчет'!$D:$AGO,393,0)</f>
        <v>0</v>
      </c>
    </row>
    <row r="62" spans="1:11" s="38" customFormat="1" x14ac:dyDescent="0.25">
      <c r="A62" s="13" t="s">
        <v>161</v>
      </c>
      <c r="B62" s="162" t="s">
        <v>86</v>
      </c>
      <c r="C62" s="155" t="str">
        <f>VLOOKUP($A$11,'[1]6.2. отчет'!$D:$AGO,328,0)</f>
        <v>нд</v>
      </c>
      <c r="D62" s="155">
        <f t="shared" si="9"/>
        <v>0</v>
      </c>
      <c r="E62" s="155" t="str">
        <f t="shared" si="10"/>
        <v>нд</v>
      </c>
      <c r="F62" s="155" t="str">
        <f t="shared" si="11"/>
        <v>нд</v>
      </c>
      <c r="G62" s="155">
        <f>VLOOKUP($A$11,'[1]6.2. отчет'!$D:$AGO,335,0)</f>
        <v>0</v>
      </c>
      <c r="H62" s="155" t="str">
        <f>VLOOKUP($A$11,'[1]6.2. отчет'!$D:$AGO,339,0)</f>
        <v>нд</v>
      </c>
      <c r="I62" s="155" t="str">
        <f>VLOOKUP($A$11,'[1]6.2. отчет'!$D:$AGO,364,0)</f>
        <v>нд</v>
      </c>
      <c r="J62" s="155">
        <f>VLOOKUP($A$11,'[1]6.2. отчет'!$D:$AGO,369,0)</f>
        <v>0</v>
      </c>
      <c r="K62" s="155">
        <f>VLOOKUP($A$11,'[1]6.2. отчет'!$D:$AGO,394,0)</f>
        <v>0</v>
      </c>
    </row>
    <row r="63" spans="1:11" s="38" customFormat="1" x14ac:dyDescent="0.25">
      <c r="A63" s="13" t="s">
        <v>162</v>
      </c>
      <c r="B63" s="162" t="s">
        <v>164</v>
      </c>
      <c r="C63" s="155" t="str">
        <f>VLOOKUP($A$11,'[1]6.2. отчет'!$D:$AGO,329,0)</f>
        <v>нд</v>
      </c>
      <c r="D63" s="155">
        <f t="shared" si="9"/>
        <v>0</v>
      </c>
      <c r="E63" s="155" t="str">
        <f t="shared" si="10"/>
        <v>нд</v>
      </c>
      <c r="F63" s="155" t="str">
        <f t="shared" si="11"/>
        <v>нд</v>
      </c>
      <c r="G63" s="155">
        <f>VLOOKUP($A$11,'[1]6.2. отчет'!$D:$AGO,336,0)</f>
        <v>0</v>
      </c>
      <c r="H63" s="155" t="str">
        <f>VLOOKUP($A$11,'[1]6.2. отчет'!$D:$AGO,340,0)</f>
        <v>нд</v>
      </c>
      <c r="I63" s="155" t="str">
        <f>VLOOKUP($A$11,'[1]6.2. отчет'!$D:$AGO,365,0)</f>
        <v>нд</v>
      </c>
      <c r="J63" s="155">
        <f>VLOOKUP($A$11,'[1]6.2. отчет'!$D:$AGO,370,0)</f>
        <v>0</v>
      </c>
      <c r="K63" s="155">
        <f>VLOOKUP($A$11,'[1]6.2. отчет'!$D:$AGO,395,0)</f>
        <v>0</v>
      </c>
    </row>
    <row r="64" spans="1:11" s="38" customFormat="1" ht="18.75" x14ac:dyDescent="0.25">
      <c r="A64" s="13" t="s">
        <v>163</v>
      </c>
      <c r="B64" s="59" t="s">
        <v>65</v>
      </c>
      <c r="C64" s="155" t="str">
        <f>VLOOKUP($A$11,'[1]6.2. отчет'!$D:$AGO,330,0)</f>
        <v>нд</v>
      </c>
      <c r="D64" s="155">
        <f t="shared" si="9"/>
        <v>0</v>
      </c>
      <c r="E64" s="155" t="str">
        <f t="shared" si="10"/>
        <v>нд</v>
      </c>
      <c r="F64" s="155" t="str">
        <f t="shared" si="11"/>
        <v>нд</v>
      </c>
      <c r="G64" s="155">
        <f>VLOOKUP($A$11,'[1]6.2. отчет'!$D:$AGO,337,0)</f>
        <v>0</v>
      </c>
      <c r="H64" s="155" t="str">
        <f>VLOOKUP($A$11,'[1]6.2. отчет'!$D:$AGO,342,0)</f>
        <v>нд</v>
      </c>
      <c r="I64" s="155" t="str">
        <f>VLOOKUP($A$11,'[1]6.2. отчет'!$D:$AGO,367,0)</f>
        <v>нд</v>
      </c>
      <c r="J64" s="155">
        <f>VLOOKUP($A$11,'[1]6.2. отчет'!$D:$AGO,372,0)</f>
        <v>0</v>
      </c>
      <c r="K64" s="155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68"/>
      <c r="C66" s="268"/>
      <c r="D66" s="268"/>
      <c r="E66" s="268"/>
      <c r="F66" s="268"/>
      <c r="G66" s="268"/>
      <c r="H66" s="268"/>
      <c r="I66" s="268"/>
      <c r="J66" s="268"/>
      <c r="K66" s="268"/>
    </row>
    <row r="68" spans="1:11" ht="50.25" customHeight="1" x14ac:dyDescent="0.25">
      <c r="B68" s="269"/>
      <c r="C68" s="269"/>
      <c r="D68" s="269"/>
      <c r="E68" s="269"/>
      <c r="F68" s="269"/>
      <c r="G68" s="269"/>
      <c r="H68" s="269"/>
      <c r="I68" s="269"/>
      <c r="J68" s="269"/>
      <c r="K68" s="269"/>
    </row>
    <row r="70" spans="1:11" ht="36.75" customHeight="1" x14ac:dyDescent="0.25">
      <c r="B70" s="268"/>
      <c r="C70" s="268"/>
      <c r="D70" s="268"/>
      <c r="E70" s="268"/>
      <c r="F70" s="268"/>
      <c r="G70" s="268"/>
      <c r="H70" s="268"/>
      <c r="I70" s="268"/>
      <c r="J70" s="268"/>
      <c r="K70" s="268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68"/>
      <c r="C72" s="268"/>
      <c r="D72" s="268"/>
      <c r="E72" s="268"/>
      <c r="F72" s="268"/>
      <c r="G72" s="268"/>
      <c r="H72" s="268"/>
      <c r="I72" s="268"/>
      <c r="J72" s="268"/>
      <c r="K72" s="268"/>
    </row>
    <row r="73" spans="1:11" ht="32.25" customHeight="1" x14ac:dyDescent="0.25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pans="1:11" ht="51.75" customHeight="1" x14ac:dyDescent="0.25">
      <c r="B74" s="268"/>
      <c r="C74" s="268"/>
      <c r="D74" s="268"/>
      <c r="E74" s="268"/>
      <c r="F74" s="268"/>
      <c r="G74" s="268"/>
      <c r="H74" s="268"/>
      <c r="I74" s="268"/>
      <c r="J74" s="268"/>
      <c r="K74" s="268"/>
    </row>
    <row r="75" spans="1:11" ht="21.75" customHeight="1" x14ac:dyDescent="0.25">
      <c r="B75" s="270"/>
      <c r="C75" s="270"/>
      <c r="D75" s="270"/>
      <c r="E75" s="270"/>
      <c r="F75" s="270"/>
      <c r="G75" s="270"/>
      <c r="H75" s="270"/>
      <c r="I75" s="270"/>
      <c r="J75" s="270"/>
      <c r="K75" s="270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67"/>
      <c r="C77" s="267"/>
      <c r="D77" s="267"/>
      <c r="E77" s="267"/>
      <c r="F77" s="267"/>
      <c r="G77" s="267"/>
      <c r="H77" s="267"/>
      <c r="I77" s="267"/>
      <c r="J77" s="267"/>
      <c r="K77" s="267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7" zoomScale="70" zoomScaleNormal="100" zoomScaleSheetLayoutView="70" workbookViewId="0">
      <selection activeCell="K26" sqref="K26"/>
    </sheetView>
  </sheetViews>
  <sheetFormatPr defaultColWidth="9.140625" defaultRowHeight="15" x14ac:dyDescent="0.25"/>
  <cols>
    <col min="1" max="1" width="6.140625" style="91" customWidth="1"/>
    <col min="2" max="2" width="23.140625" style="91" customWidth="1"/>
    <col min="3" max="3" width="18.28515625" style="91" bestFit="1" customWidth="1"/>
    <col min="4" max="4" width="15.140625" style="91" customWidth="1"/>
    <col min="5" max="12" width="7.7109375" style="91" customWidth="1"/>
    <col min="13" max="13" width="14.5703125" style="91" customWidth="1"/>
    <col min="14" max="14" width="14.42578125" style="91" customWidth="1"/>
    <col min="15" max="15" width="10.7109375" style="91" customWidth="1"/>
    <col min="16" max="17" width="13.42578125" style="91" customWidth="1"/>
    <col min="18" max="18" width="17" style="91" customWidth="1"/>
    <col min="19" max="20" width="9.7109375" style="91" customWidth="1"/>
    <col min="21" max="21" width="11.42578125" style="91" customWidth="1"/>
    <col min="22" max="22" width="12.7109375" style="91" customWidth="1"/>
    <col min="23" max="23" width="25.28515625" style="91" customWidth="1"/>
    <col min="24" max="25" width="10.7109375" style="91" customWidth="1"/>
    <col min="26" max="26" width="7.7109375" style="91" customWidth="1"/>
    <col min="27" max="28" width="10.7109375" style="91" customWidth="1"/>
    <col min="29" max="29" width="19.140625" style="91" customWidth="1"/>
    <col min="30" max="30" width="10.7109375" style="91" customWidth="1"/>
    <col min="31" max="31" width="15.85546875" style="91" customWidth="1"/>
    <col min="32" max="32" width="25" style="91" customWidth="1"/>
    <col min="33" max="36" width="11.5703125" style="91" customWidth="1"/>
    <col min="37" max="41" width="13.85546875" style="91" customWidth="1"/>
    <col min="42" max="42" width="13.42578125" style="91" customWidth="1"/>
    <col min="43" max="43" width="14" style="91" customWidth="1"/>
    <col min="44" max="44" width="14.140625" style="91" customWidth="1"/>
    <col min="45" max="46" width="13.28515625" style="91" customWidth="1"/>
    <col min="47" max="47" width="10.7109375" style="91" customWidth="1"/>
    <col min="48" max="48" width="50.5703125" style="91" customWidth="1"/>
    <col min="49" max="16384" width="9.140625" style="91"/>
  </cols>
  <sheetData>
    <row r="1" spans="1:48" ht="18.75" x14ac:dyDescent="0.25">
      <c r="AV1" s="28" t="s">
        <v>57</v>
      </c>
    </row>
    <row r="2" spans="1:48" ht="18.75" x14ac:dyDescent="0.3">
      <c r="AV2" s="29" t="s">
        <v>6</v>
      </c>
    </row>
    <row r="3" spans="1:48" ht="18.75" x14ac:dyDescent="0.3">
      <c r="AV3" s="29" t="s">
        <v>56</v>
      </c>
    </row>
    <row r="4" spans="1:48" ht="18.75" x14ac:dyDescent="0.3">
      <c r="AV4" s="29"/>
    </row>
    <row r="5" spans="1:48" ht="18.75" customHeight="1" x14ac:dyDescent="0.25">
      <c r="A5" s="188" t="str">
        <f>'1. паспорт местоположение'!$A$5</f>
        <v>Год раскрытия информации: 2024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</row>
    <row r="6" spans="1:48" ht="18.75" x14ac:dyDescent="0.3">
      <c r="AV6" s="29"/>
    </row>
    <row r="7" spans="1:48" ht="18.75" x14ac:dyDescent="0.25">
      <c r="A7" s="192" t="s">
        <v>5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</row>
    <row r="8" spans="1:48" ht="18.75" x14ac:dyDescent="0.25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</row>
    <row r="9" spans="1:48" ht="15.75" x14ac:dyDescent="0.25">
      <c r="A9" s="193" t="s">
        <v>287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</row>
    <row r="10" spans="1:48" ht="15.75" x14ac:dyDescent="0.25">
      <c r="A10" s="194" t="s">
        <v>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</row>
    <row r="11" spans="1:48" ht="18.75" x14ac:dyDescent="0.25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</row>
    <row r="12" spans="1:48" ht="15.75" x14ac:dyDescent="0.25">
      <c r="A12" s="193" t="str">
        <f>'6.2. Паспорт фин осв ввод'!A11:K11</f>
        <v>O_Che475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</row>
    <row r="13" spans="1:48" ht="15.75" x14ac:dyDescent="0.25">
      <c r="A13" s="194" t="s">
        <v>3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</row>
    <row r="14" spans="1:48" ht="18.75" x14ac:dyDescent="0.25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</row>
    <row r="15" spans="1:48" ht="15.75" x14ac:dyDescent="0.25">
      <c r="A15" s="193" t="str">
        <f>'6.2. Паспорт фин осв ввод'!A14:K14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</row>
    <row r="16" spans="1:48" ht="15.75" x14ac:dyDescent="0.25">
      <c r="A16" s="194" t="s">
        <v>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</row>
    <row r="17" spans="1:48" x14ac:dyDescent="0.25">
      <c r="A17" s="271"/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  <c r="AP17" s="271"/>
      <c r="AQ17" s="271"/>
      <c r="AR17" s="271"/>
      <c r="AS17" s="271"/>
      <c r="AT17" s="271"/>
      <c r="AU17" s="271"/>
      <c r="AV17" s="271"/>
    </row>
    <row r="18" spans="1:48" ht="14.25" customHeight="1" x14ac:dyDescent="0.25">
      <c r="A18" s="271"/>
      <c r="B18" s="271"/>
      <c r="C18" s="271"/>
      <c r="D18" s="271"/>
      <c r="E18" s="271"/>
      <c r="F18" s="271"/>
      <c r="G18" s="271"/>
      <c r="H18" s="271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  <c r="AP18" s="271"/>
      <c r="AQ18" s="271"/>
      <c r="AR18" s="271"/>
      <c r="AS18" s="271"/>
      <c r="AT18" s="271"/>
      <c r="AU18" s="271"/>
      <c r="AV18" s="271"/>
    </row>
    <row r="19" spans="1:48" x14ac:dyDescent="0.25">
      <c r="A19" s="271"/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  <c r="AP19" s="271"/>
      <c r="AQ19" s="271"/>
      <c r="AR19" s="271"/>
      <c r="AS19" s="271"/>
      <c r="AT19" s="271"/>
      <c r="AU19" s="271"/>
      <c r="AV19" s="271"/>
    </row>
    <row r="20" spans="1:48" x14ac:dyDescent="0.25">
      <c r="A20" s="271"/>
      <c r="B20" s="271"/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  <c r="AP20" s="271"/>
      <c r="AQ20" s="271"/>
      <c r="AR20" s="271"/>
      <c r="AS20" s="271"/>
      <c r="AT20" s="271"/>
      <c r="AU20" s="271"/>
      <c r="AV20" s="271"/>
    </row>
    <row r="21" spans="1:48" x14ac:dyDescent="0.25">
      <c r="A21" s="278" t="s">
        <v>277</v>
      </c>
      <c r="B21" s="278"/>
      <c r="C21" s="278"/>
      <c r="D21" s="278"/>
      <c r="E21" s="278"/>
      <c r="F21" s="278"/>
      <c r="G21" s="278"/>
      <c r="H21" s="278"/>
      <c r="I21" s="278"/>
      <c r="J21" s="278"/>
      <c r="K21" s="278"/>
      <c r="L21" s="278"/>
      <c r="M21" s="278"/>
      <c r="N21" s="278"/>
      <c r="O21" s="278"/>
      <c r="P21" s="278"/>
      <c r="Q21" s="278"/>
      <c r="R21" s="278"/>
      <c r="S21" s="278"/>
      <c r="T21" s="278"/>
      <c r="U21" s="278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8"/>
      <c r="AS21" s="278"/>
      <c r="AT21" s="278"/>
      <c r="AU21" s="278"/>
      <c r="AV21" s="278"/>
    </row>
    <row r="22" spans="1:48" s="92" customFormat="1" ht="58.5" customHeight="1" x14ac:dyDescent="0.25">
      <c r="A22" s="273" t="s">
        <v>41</v>
      </c>
      <c r="B22" s="279" t="s">
        <v>14</v>
      </c>
      <c r="C22" s="273" t="s">
        <v>40</v>
      </c>
      <c r="D22" s="273" t="s">
        <v>39</v>
      </c>
      <c r="E22" s="282" t="s">
        <v>283</v>
      </c>
      <c r="F22" s="283"/>
      <c r="G22" s="283"/>
      <c r="H22" s="283"/>
      <c r="I22" s="283"/>
      <c r="J22" s="283"/>
      <c r="K22" s="283"/>
      <c r="L22" s="284"/>
      <c r="M22" s="273" t="s">
        <v>38</v>
      </c>
      <c r="N22" s="273" t="s">
        <v>37</v>
      </c>
      <c r="O22" s="273" t="s">
        <v>36</v>
      </c>
      <c r="P22" s="272" t="s">
        <v>168</v>
      </c>
      <c r="Q22" s="272" t="s">
        <v>35</v>
      </c>
      <c r="R22" s="272" t="s">
        <v>34</v>
      </c>
      <c r="S22" s="272" t="s">
        <v>33</v>
      </c>
      <c r="T22" s="272"/>
      <c r="U22" s="290" t="s">
        <v>32</v>
      </c>
      <c r="V22" s="290" t="s">
        <v>31</v>
      </c>
      <c r="W22" s="272" t="s">
        <v>30</v>
      </c>
      <c r="X22" s="272" t="s">
        <v>29</v>
      </c>
      <c r="Y22" s="272" t="s">
        <v>28</v>
      </c>
      <c r="Z22" s="287" t="s">
        <v>27</v>
      </c>
      <c r="AA22" s="272" t="s">
        <v>26</v>
      </c>
      <c r="AB22" s="272" t="s">
        <v>25</v>
      </c>
      <c r="AC22" s="272" t="s">
        <v>24</v>
      </c>
      <c r="AD22" s="272" t="s">
        <v>23</v>
      </c>
      <c r="AE22" s="272" t="s">
        <v>22</v>
      </c>
      <c r="AF22" s="272" t="s">
        <v>21</v>
      </c>
      <c r="AG22" s="272"/>
      <c r="AH22" s="272"/>
      <c r="AI22" s="272"/>
      <c r="AJ22" s="272"/>
      <c r="AK22" s="272"/>
      <c r="AL22" s="293" t="s">
        <v>455</v>
      </c>
      <c r="AM22" s="293"/>
      <c r="AN22" s="293"/>
      <c r="AO22" s="293"/>
      <c r="AP22" s="272" t="s">
        <v>20</v>
      </c>
      <c r="AQ22" s="272"/>
      <c r="AR22" s="272" t="s">
        <v>19</v>
      </c>
      <c r="AS22" s="272" t="s">
        <v>18</v>
      </c>
      <c r="AT22" s="272" t="s">
        <v>17</v>
      </c>
      <c r="AU22" s="272" t="s">
        <v>16</v>
      </c>
      <c r="AV22" s="272" t="s">
        <v>15</v>
      </c>
    </row>
    <row r="23" spans="1:48" s="92" customFormat="1" ht="64.5" customHeight="1" x14ac:dyDescent="0.25">
      <c r="A23" s="277"/>
      <c r="B23" s="280"/>
      <c r="C23" s="277"/>
      <c r="D23" s="277"/>
      <c r="E23" s="285" t="s">
        <v>13</v>
      </c>
      <c r="F23" s="275" t="s">
        <v>69</v>
      </c>
      <c r="G23" s="275" t="s">
        <v>68</v>
      </c>
      <c r="H23" s="275" t="s">
        <v>67</v>
      </c>
      <c r="I23" s="294" t="s">
        <v>222</v>
      </c>
      <c r="J23" s="294" t="s">
        <v>223</v>
      </c>
      <c r="K23" s="294" t="s">
        <v>224</v>
      </c>
      <c r="L23" s="275" t="s">
        <v>64</v>
      </c>
      <c r="M23" s="277"/>
      <c r="N23" s="277"/>
      <c r="O23" s="277"/>
      <c r="P23" s="272"/>
      <c r="Q23" s="272"/>
      <c r="R23" s="272"/>
      <c r="S23" s="273" t="s">
        <v>0</v>
      </c>
      <c r="T23" s="273" t="s">
        <v>7</v>
      </c>
      <c r="U23" s="290"/>
      <c r="V23" s="290"/>
      <c r="W23" s="272"/>
      <c r="X23" s="272"/>
      <c r="Y23" s="272"/>
      <c r="Z23" s="272"/>
      <c r="AA23" s="272"/>
      <c r="AB23" s="272"/>
      <c r="AC23" s="272"/>
      <c r="AD23" s="272"/>
      <c r="AE23" s="272"/>
      <c r="AF23" s="272" t="s">
        <v>12</v>
      </c>
      <c r="AG23" s="272"/>
      <c r="AH23" s="293" t="s">
        <v>456</v>
      </c>
      <c r="AI23" s="293"/>
      <c r="AJ23" s="291" t="s">
        <v>457</v>
      </c>
      <c r="AK23" s="273" t="s">
        <v>11</v>
      </c>
      <c r="AL23" s="291" t="s">
        <v>458</v>
      </c>
      <c r="AM23" s="291" t="s">
        <v>459</v>
      </c>
      <c r="AN23" s="291" t="s">
        <v>460</v>
      </c>
      <c r="AO23" s="291" t="s">
        <v>461</v>
      </c>
      <c r="AP23" s="273" t="s">
        <v>10</v>
      </c>
      <c r="AQ23" s="288" t="s">
        <v>7</v>
      </c>
      <c r="AR23" s="272"/>
      <c r="AS23" s="272"/>
      <c r="AT23" s="272"/>
      <c r="AU23" s="272"/>
      <c r="AV23" s="272"/>
    </row>
    <row r="24" spans="1:48" s="92" customFormat="1" ht="96.75" customHeight="1" x14ac:dyDescent="0.25">
      <c r="A24" s="274"/>
      <c r="B24" s="281"/>
      <c r="C24" s="274"/>
      <c r="D24" s="274"/>
      <c r="E24" s="286"/>
      <c r="F24" s="276"/>
      <c r="G24" s="276"/>
      <c r="H24" s="276"/>
      <c r="I24" s="295"/>
      <c r="J24" s="295"/>
      <c r="K24" s="295"/>
      <c r="L24" s="276"/>
      <c r="M24" s="274"/>
      <c r="N24" s="274"/>
      <c r="O24" s="274"/>
      <c r="P24" s="272"/>
      <c r="Q24" s="272"/>
      <c r="R24" s="272"/>
      <c r="S24" s="274"/>
      <c r="T24" s="274"/>
      <c r="U24" s="290"/>
      <c r="V24" s="290"/>
      <c r="W24" s="272"/>
      <c r="X24" s="272"/>
      <c r="Y24" s="272"/>
      <c r="Z24" s="272"/>
      <c r="AA24" s="272"/>
      <c r="AB24" s="272"/>
      <c r="AC24" s="272"/>
      <c r="AD24" s="272"/>
      <c r="AE24" s="272"/>
      <c r="AF24" s="93" t="s">
        <v>9</v>
      </c>
      <c r="AG24" s="93" t="s">
        <v>8</v>
      </c>
      <c r="AH24" s="150" t="s">
        <v>0</v>
      </c>
      <c r="AI24" s="150" t="s">
        <v>7</v>
      </c>
      <c r="AJ24" s="292"/>
      <c r="AK24" s="274"/>
      <c r="AL24" s="292"/>
      <c r="AM24" s="292"/>
      <c r="AN24" s="292"/>
      <c r="AO24" s="292"/>
      <c r="AP24" s="274"/>
      <c r="AQ24" s="289"/>
      <c r="AR24" s="272"/>
      <c r="AS24" s="272"/>
      <c r="AT24" s="272"/>
      <c r="AU24" s="272"/>
      <c r="AV24" s="272"/>
    </row>
    <row r="25" spans="1:48" s="92" customFormat="1" x14ac:dyDescent="0.25">
      <c r="A25" s="94">
        <v>1</v>
      </c>
      <c r="B25" s="94">
        <v>2</v>
      </c>
      <c r="C25" s="94">
        <v>4</v>
      </c>
      <c r="D25" s="94">
        <v>5</v>
      </c>
      <c r="E25" s="94">
        <v>6</v>
      </c>
      <c r="F25" s="94">
        <f t="shared" ref="F25:AD25" si="0">E25+1</f>
        <v>7</v>
      </c>
      <c r="G25" s="94">
        <f t="shared" si="0"/>
        <v>8</v>
      </c>
      <c r="H25" s="94">
        <f t="shared" si="0"/>
        <v>9</v>
      </c>
      <c r="I25" s="94">
        <f t="shared" si="0"/>
        <v>10</v>
      </c>
      <c r="J25" s="94">
        <f t="shared" si="0"/>
        <v>11</v>
      </c>
      <c r="K25" s="94">
        <f t="shared" si="0"/>
        <v>12</v>
      </c>
      <c r="L25" s="94">
        <f t="shared" si="0"/>
        <v>13</v>
      </c>
      <c r="M25" s="94">
        <f t="shared" si="0"/>
        <v>14</v>
      </c>
      <c r="N25" s="94">
        <f t="shared" si="0"/>
        <v>15</v>
      </c>
      <c r="O25" s="94">
        <f t="shared" si="0"/>
        <v>16</v>
      </c>
      <c r="P25" s="94">
        <f t="shared" si="0"/>
        <v>17</v>
      </c>
      <c r="Q25" s="94">
        <f t="shared" si="0"/>
        <v>18</v>
      </c>
      <c r="R25" s="94">
        <f t="shared" si="0"/>
        <v>19</v>
      </c>
      <c r="S25" s="94">
        <f t="shared" si="0"/>
        <v>20</v>
      </c>
      <c r="T25" s="94">
        <f t="shared" si="0"/>
        <v>21</v>
      </c>
      <c r="U25" s="94">
        <f t="shared" si="0"/>
        <v>22</v>
      </c>
      <c r="V25" s="94">
        <f t="shared" si="0"/>
        <v>23</v>
      </c>
      <c r="W25" s="94">
        <f t="shared" si="0"/>
        <v>24</v>
      </c>
      <c r="X25" s="94">
        <f t="shared" si="0"/>
        <v>25</v>
      </c>
      <c r="Y25" s="94">
        <f t="shared" si="0"/>
        <v>26</v>
      </c>
      <c r="Z25" s="94">
        <f t="shared" si="0"/>
        <v>27</v>
      </c>
      <c r="AA25" s="94">
        <f t="shared" si="0"/>
        <v>28</v>
      </c>
      <c r="AB25" s="94">
        <f t="shared" si="0"/>
        <v>29</v>
      </c>
      <c r="AC25" s="94">
        <f t="shared" si="0"/>
        <v>30</v>
      </c>
      <c r="AD25" s="94">
        <f t="shared" si="0"/>
        <v>31</v>
      </c>
      <c r="AE25" s="94">
        <f t="shared" ref="AE25" si="1">AD25+1</f>
        <v>32</v>
      </c>
      <c r="AF25" s="94">
        <f t="shared" ref="AF25" si="2">AE25+1</f>
        <v>33</v>
      </c>
      <c r="AG25" s="94">
        <f t="shared" ref="AG25" si="3">AF25+1</f>
        <v>34</v>
      </c>
      <c r="AH25" s="94">
        <f t="shared" ref="AH25" si="4">AG25+1</f>
        <v>35</v>
      </c>
      <c r="AI25" s="94">
        <f t="shared" ref="AI25" si="5">AH25+1</f>
        <v>36</v>
      </c>
      <c r="AJ25" s="94">
        <f t="shared" ref="AJ25" si="6">AI25+1</f>
        <v>37</v>
      </c>
      <c r="AK25" s="94">
        <f t="shared" ref="AK25" si="7">AJ25+1</f>
        <v>38</v>
      </c>
      <c r="AL25" s="94">
        <f t="shared" ref="AL25" si="8">AK25+1</f>
        <v>39</v>
      </c>
      <c r="AM25" s="94">
        <f t="shared" ref="AM25" si="9">AL25+1</f>
        <v>40</v>
      </c>
      <c r="AN25" s="94">
        <f t="shared" ref="AN25" si="10">AM25+1</f>
        <v>41</v>
      </c>
      <c r="AO25" s="94">
        <f t="shared" ref="AO25" si="11">AN25+1</f>
        <v>42</v>
      </c>
      <c r="AP25" s="94">
        <f t="shared" ref="AP25" si="12">AO25+1</f>
        <v>43</v>
      </c>
      <c r="AQ25" s="94">
        <f t="shared" ref="AQ25" si="13">AP25+1</f>
        <v>44</v>
      </c>
      <c r="AR25" s="94">
        <f t="shared" ref="AR25" si="14">AQ25+1</f>
        <v>45</v>
      </c>
      <c r="AS25" s="94">
        <f t="shared" ref="AS25" si="15">AR25+1</f>
        <v>46</v>
      </c>
      <c r="AT25" s="94">
        <f t="shared" ref="AT25" si="16">AS25+1</f>
        <v>47</v>
      </c>
      <c r="AU25" s="94">
        <f t="shared" ref="AU25" si="17">AT25+1</f>
        <v>48</v>
      </c>
      <c r="AV25" s="94">
        <f t="shared" ref="AV25" si="18">AU25+1</f>
        <v>49</v>
      </c>
    </row>
    <row r="26" spans="1:48" s="180" customFormat="1" ht="162" customHeight="1" x14ac:dyDescent="0.25">
      <c r="A26" s="164">
        <v>1</v>
      </c>
      <c r="B26" s="176" t="s">
        <v>287</v>
      </c>
      <c r="C26" s="177" t="s">
        <v>503</v>
      </c>
      <c r="D26" s="178">
        <v>45627</v>
      </c>
      <c r="E26" s="179">
        <v>2</v>
      </c>
      <c r="F26" s="179">
        <v>0</v>
      </c>
      <c r="G26" s="179">
        <v>0</v>
      </c>
      <c r="H26" s="179">
        <v>0</v>
      </c>
      <c r="I26" s="179">
        <v>0</v>
      </c>
      <c r="J26" s="179">
        <v>0</v>
      </c>
      <c r="K26" s="179">
        <v>0</v>
      </c>
      <c r="L26" s="179">
        <v>0</v>
      </c>
      <c r="M26" s="302" t="s">
        <v>504</v>
      </c>
      <c r="N26" s="302" t="s">
        <v>472</v>
      </c>
      <c r="O26" s="303" t="s">
        <v>473</v>
      </c>
      <c r="P26" s="304">
        <v>25926.388617000001</v>
      </c>
      <c r="Q26" s="305" t="s">
        <v>474</v>
      </c>
      <c r="R26" s="304">
        <v>25926.388617000001</v>
      </c>
      <c r="S26" s="305" t="s">
        <v>475</v>
      </c>
      <c r="T26" s="305" t="s">
        <v>475</v>
      </c>
      <c r="U26" s="305">
        <v>1</v>
      </c>
      <c r="V26" s="305">
        <v>1</v>
      </c>
      <c r="W26" s="305" t="s">
        <v>476</v>
      </c>
      <c r="X26" s="306"/>
      <c r="Y26" s="307" t="s">
        <v>477</v>
      </c>
      <c r="Z26" s="305">
        <v>1</v>
      </c>
      <c r="AA26" s="304">
        <v>25926.388617000001</v>
      </c>
      <c r="AB26" s="304">
        <v>25926.388617000001</v>
      </c>
      <c r="AC26" s="305" t="s">
        <v>476</v>
      </c>
      <c r="AD26" s="304">
        <v>31111.66634</v>
      </c>
      <c r="AE26" s="304">
        <v>13051.530648</v>
      </c>
      <c r="AF26" s="308" t="s">
        <v>505</v>
      </c>
      <c r="AG26" s="309" t="s">
        <v>478</v>
      </c>
      <c r="AH26" s="310">
        <v>45174</v>
      </c>
      <c r="AI26" s="310">
        <v>45174</v>
      </c>
      <c r="AJ26" s="310">
        <v>45190</v>
      </c>
      <c r="AK26" s="310">
        <v>45201</v>
      </c>
      <c r="AL26" s="311" t="s">
        <v>479</v>
      </c>
      <c r="AM26" s="312"/>
      <c r="AN26" s="312"/>
      <c r="AO26" s="313"/>
      <c r="AP26" s="310">
        <v>45240</v>
      </c>
      <c r="AQ26" s="310">
        <v>45240</v>
      </c>
      <c r="AR26" s="310">
        <v>45240</v>
      </c>
      <c r="AS26" s="310">
        <v>45240</v>
      </c>
      <c r="AT26" s="310">
        <v>45380</v>
      </c>
      <c r="AU26" s="306"/>
      <c r="AV26" s="309" t="s">
        <v>480</v>
      </c>
    </row>
  </sheetData>
  <mergeCells count="68">
    <mergeCell ref="H23:H24"/>
    <mergeCell ref="K23:K24"/>
    <mergeCell ref="I23:I24"/>
    <mergeCell ref="J23:J24"/>
    <mergeCell ref="AK23:AK24"/>
    <mergeCell ref="AH23:AI23"/>
    <mergeCell ref="AJ23:AJ24"/>
    <mergeCell ref="AA22:AA24"/>
    <mergeCell ref="P22:P24"/>
    <mergeCell ref="Q22:Q24"/>
    <mergeCell ref="AE22:AE24"/>
    <mergeCell ref="W22:W24"/>
    <mergeCell ref="A20:AV20"/>
    <mergeCell ref="AF23:AG23"/>
    <mergeCell ref="AQ23:AQ24"/>
    <mergeCell ref="AF22:AK22"/>
    <mergeCell ref="R22:R24"/>
    <mergeCell ref="S22:T22"/>
    <mergeCell ref="U22:U24"/>
    <mergeCell ref="V22:V24"/>
    <mergeCell ref="AM23:AM24"/>
    <mergeCell ref="AN23:AN24"/>
    <mergeCell ref="AO23:AO24"/>
    <mergeCell ref="M22:M24"/>
    <mergeCell ref="AL22:AO22"/>
    <mergeCell ref="AL23:AL24"/>
    <mergeCell ref="F23:F24"/>
    <mergeCell ref="G23:G24"/>
    <mergeCell ref="A21:AV21"/>
    <mergeCell ref="A22:A24"/>
    <mergeCell ref="C22:C24"/>
    <mergeCell ref="D22:D24"/>
    <mergeCell ref="B22:B24"/>
    <mergeCell ref="E22:L22"/>
    <mergeCell ref="N22:N24"/>
    <mergeCell ref="AU22:AU24"/>
    <mergeCell ref="AV22:AV24"/>
    <mergeCell ref="E23:E24"/>
    <mergeCell ref="AS22:AS24"/>
    <mergeCell ref="AR22:AR24"/>
    <mergeCell ref="T23:T24"/>
    <mergeCell ref="Y22:Y24"/>
    <mergeCell ref="Z22:Z24"/>
    <mergeCell ref="X22:X24"/>
    <mergeCell ref="AP22:AQ22"/>
    <mergeCell ref="L23:L24"/>
    <mergeCell ref="S23:S24"/>
    <mergeCell ref="AL26:AO26"/>
    <mergeCell ref="AT22:AT24"/>
    <mergeCell ref="AB22:AB24"/>
    <mergeCell ref="AC22:AC24"/>
    <mergeCell ref="O22:O24"/>
    <mergeCell ref="A17:AV17"/>
    <mergeCell ref="A18:AV18"/>
    <mergeCell ref="A19:AV19"/>
    <mergeCell ref="AD22:AD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P23:AP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view="pageBreakPreview" topLeftCell="A32" zoomScale="80" zoomScaleNormal="90" zoomScaleSheetLayoutView="80" workbookViewId="0">
      <selection activeCell="B30" sqref="B30"/>
    </sheetView>
  </sheetViews>
  <sheetFormatPr defaultColWidth="9.140625" defaultRowHeight="15.75" x14ac:dyDescent="0.25"/>
  <cols>
    <col min="1" max="1" width="72.28515625" style="19" customWidth="1"/>
    <col min="2" max="2" width="64.28515625" style="19" customWidth="1"/>
    <col min="3" max="3" width="10.7109375" style="20" hidden="1" customWidth="1"/>
    <col min="4" max="4" width="9.140625" style="20" hidden="1" customWidth="1"/>
    <col min="5" max="5" width="15.5703125" style="20" customWidth="1"/>
    <col min="6" max="7" width="9.140625" style="20"/>
    <col min="8" max="8" width="11.42578125" style="20" customWidth="1"/>
    <col min="9" max="9" width="29.42578125" style="20" customWidth="1"/>
    <col min="10" max="216" width="9.140625" style="20"/>
    <col min="217" max="218" width="66.140625" style="20" customWidth="1"/>
    <col min="219" max="16384" width="9.140625" style="20"/>
  </cols>
  <sheetData>
    <row r="1" spans="1:2" ht="18.75" x14ac:dyDescent="0.25">
      <c r="B1" s="28" t="s">
        <v>57</v>
      </c>
    </row>
    <row r="2" spans="1:2" ht="18.75" x14ac:dyDescent="0.3">
      <c r="B2" s="29" t="s">
        <v>6</v>
      </c>
    </row>
    <row r="3" spans="1:2" ht="18.75" x14ac:dyDescent="0.3">
      <c r="B3" s="29" t="s">
        <v>169</v>
      </c>
    </row>
    <row r="4" spans="1:2" x14ac:dyDescent="0.25">
      <c r="B4" s="6"/>
    </row>
    <row r="5" spans="1:2" x14ac:dyDescent="0.25">
      <c r="A5" s="297" t="str">
        <f>'1. паспорт местоположение'!$A$5</f>
        <v>Год раскрытия информации: 2024 год</v>
      </c>
      <c r="B5" s="297"/>
    </row>
    <row r="6" spans="1:2" ht="18.75" x14ac:dyDescent="0.3">
      <c r="A6" s="23"/>
      <c r="B6" s="23"/>
    </row>
    <row r="7" spans="1:2" x14ac:dyDescent="0.25">
      <c r="A7" s="298" t="s">
        <v>5</v>
      </c>
      <c r="B7" s="298"/>
    </row>
    <row r="8" spans="1:2" ht="18.75" x14ac:dyDescent="0.25">
      <c r="A8" s="61"/>
      <c r="B8" s="61"/>
    </row>
    <row r="9" spans="1:2" x14ac:dyDescent="0.25">
      <c r="A9" s="299" t="s">
        <v>287</v>
      </c>
      <c r="B9" s="299"/>
    </row>
    <row r="10" spans="1:2" x14ac:dyDescent="0.25">
      <c r="A10" s="194" t="s">
        <v>4</v>
      </c>
      <c r="B10" s="194"/>
    </row>
    <row r="11" spans="1:2" ht="18.75" x14ac:dyDescent="0.25">
      <c r="A11" s="61"/>
      <c r="B11" s="61"/>
    </row>
    <row r="12" spans="1:2" ht="30.75" customHeight="1" x14ac:dyDescent="0.25">
      <c r="A12" s="299" t="str">
        <f>'6.2. Паспорт фин осв ввод'!A11:K11</f>
        <v>O_Che475</v>
      </c>
      <c r="B12" s="299"/>
    </row>
    <row r="13" spans="1:2" x14ac:dyDescent="0.25">
      <c r="A13" s="194" t="s">
        <v>3</v>
      </c>
      <c r="B13" s="194"/>
    </row>
    <row r="14" spans="1:2" ht="18.75" x14ac:dyDescent="0.25">
      <c r="A14" s="1"/>
      <c r="B14" s="1"/>
    </row>
    <row r="15" spans="1:2" ht="57.75" customHeight="1" x14ac:dyDescent="0.25">
      <c r="A15" s="301" t="str">
        <f>'6.2. Паспорт фин осв ввод'!A14:K14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301"/>
    </row>
    <row r="16" spans="1:2" x14ac:dyDescent="0.25">
      <c r="A16" s="194" t="s">
        <v>2</v>
      </c>
      <c r="B16" s="194"/>
    </row>
    <row r="17" spans="1:9" x14ac:dyDescent="0.25">
      <c r="B17" s="84"/>
    </row>
    <row r="18" spans="1:9" ht="20.25" customHeight="1" x14ac:dyDescent="0.25">
      <c r="A18" s="300" t="s">
        <v>278</v>
      </c>
      <c r="B18" s="297"/>
    </row>
    <row r="19" spans="1:9" ht="10.5" customHeight="1" x14ac:dyDescent="0.25">
      <c r="B19" s="6"/>
    </row>
    <row r="20" spans="1:9" ht="10.5" customHeight="1" x14ac:dyDescent="0.25">
      <c r="B20" s="85"/>
    </row>
    <row r="21" spans="1:9" ht="105" x14ac:dyDescent="0.25">
      <c r="A21" s="136" t="s">
        <v>173</v>
      </c>
      <c r="B21" s="86" t="str">
        <f>'1. паспорт местоположение'!A15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</row>
    <row r="22" spans="1:9" x14ac:dyDescent="0.25">
      <c r="A22" s="136" t="s">
        <v>174</v>
      </c>
      <c r="B22" s="86" t="str">
        <f>'1. паспорт местоположение'!C27</f>
        <v>Ачхой-Мартановский район</v>
      </c>
    </row>
    <row r="23" spans="1:9" ht="60" x14ac:dyDescent="0.25">
      <c r="A23" s="136" t="s">
        <v>170</v>
      </c>
      <c r="B23" s="86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</v>
      </c>
    </row>
    <row r="24" spans="1:9" x14ac:dyDescent="0.25">
      <c r="A24" s="136" t="s">
        <v>175</v>
      </c>
      <c r="B24" s="87">
        <v>0</v>
      </c>
    </row>
    <row r="25" spans="1:9" x14ac:dyDescent="0.25">
      <c r="A25" s="137" t="s">
        <v>176</v>
      </c>
      <c r="B25" s="184">
        <f>VLOOKUP($A$12,'[1]6.2. отчет'!$D:$OM,400,0)</f>
        <v>2024</v>
      </c>
    </row>
    <row r="26" spans="1:9" x14ac:dyDescent="0.25">
      <c r="A26" s="137" t="s">
        <v>177</v>
      </c>
      <c r="B26" s="87" t="s">
        <v>499</v>
      </c>
      <c r="I26" s="88"/>
    </row>
    <row r="27" spans="1:9" x14ac:dyDescent="0.25">
      <c r="A27" s="138" t="s">
        <v>449</v>
      </c>
      <c r="B27" s="89">
        <f>'6.2. Паспорт фин осв ввод'!D24</f>
        <v>12.36925081</v>
      </c>
      <c r="C27" s="131"/>
    </row>
    <row r="28" spans="1:9" x14ac:dyDescent="0.25">
      <c r="A28" s="139" t="s">
        <v>178</v>
      </c>
      <c r="B28" s="139" t="s">
        <v>289</v>
      </c>
    </row>
    <row r="29" spans="1:9" x14ac:dyDescent="0.25">
      <c r="A29" s="138" t="s">
        <v>179</v>
      </c>
      <c r="B29" s="89">
        <f>B30</f>
        <v>13.05</v>
      </c>
    </row>
    <row r="30" spans="1:9" ht="28.5" x14ac:dyDescent="0.25">
      <c r="A30" s="138" t="s">
        <v>180</v>
      </c>
      <c r="B30" s="89">
        <v>13.05</v>
      </c>
    </row>
    <row r="31" spans="1:9" x14ac:dyDescent="0.25">
      <c r="A31" s="139" t="s">
        <v>181</v>
      </c>
      <c r="B31" s="139"/>
    </row>
    <row r="32" spans="1:9" ht="28.5" x14ac:dyDescent="0.25">
      <c r="A32" s="138" t="s">
        <v>182</v>
      </c>
      <c r="B32" s="138" t="s">
        <v>481</v>
      </c>
    </row>
    <row r="33" spans="1:4" ht="18.75" customHeight="1" x14ac:dyDescent="0.25">
      <c r="A33" s="139" t="s">
        <v>482</v>
      </c>
      <c r="B33" s="89">
        <f>'7. Паспорт отчет о закупке'!AD26/1000</f>
        <v>31.111666339999999</v>
      </c>
    </row>
    <row r="34" spans="1:4" x14ac:dyDescent="0.25">
      <c r="A34" s="139" t="s">
        <v>184</v>
      </c>
      <c r="B34" s="144">
        <f>13.05/B27</f>
        <v>1.0550356040520776</v>
      </c>
    </row>
    <row r="35" spans="1:4" x14ac:dyDescent="0.25">
      <c r="A35" s="139" t="s">
        <v>185</v>
      </c>
      <c r="B35" s="89">
        <v>12.36925081</v>
      </c>
    </row>
    <row r="36" spans="1:4" x14ac:dyDescent="0.25">
      <c r="A36" s="139" t="s">
        <v>186</v>
      </c>
      <c r="B36" s="89">
        <v>13.02026401</v>
      </c>
    </row>
    <row r="37" spans="1:4" ht="28.5" x14ac:dyDescent="0.25">
      <c r="A37" s="138" t="s">
        <v>187</v>
      </c>
      <c r="B37" s="89" t="s">
        <v>300</v>
      </c>
    </row>
    <row r="38" spans="1:4" x14ac:dyDescent="0.25">
      <c r="A38" s="139" t="s">
        <v>183</v>
      </c>
      <c r="B38" s="89" t="s">
        <v>300</v>
      </c>
    </row>
    <row r="39" spans="1:4" x14ac:dyDescent="0.25">
      <c r="A39" s="139" t="s">
        <v>184</v>
      </c>
      <c r="B39" s="89" t="s">
        <v>300</v>
      </c>
    </row>
    <row r="40" spans="1:4" x14ac:dyDescent="0.25">
      <c r="A40" s="139" t="s">
        <v>185</v>
      </c>
      <c r="B40" s="89" t="s">
        <v>300</v>
      </c>
    </row>
    <row r="41" spans="1:4" x14ac:dyDescent="0.25">
      <c r="A41" s="139" t="s">
        <v>186</v>
      </c>
      <c r="B41" s="89" t="s">
        <v>300</v>
      </c>
    </row>
    <row r="42" spans="1:4" ht="28.5" x14ac:dyDescent="0.25">
      <c r="A42" s="138" t="s">
        <v>188</v>
      </c>
      <c r="B42" s="165" t="s">
        <v>300</v>
      </c>
    </row>
    <row r="43" spans="1:4" x14ac:dyDescent="0.25">
      <c r="A43" s="139" t="s">
        <v>464</v>
      </c>
      <c r="B43" s="165" t="s">
        <v>300</v>
      </c>
    </row>
    <row r="44" spans="1:4" x14ac:dyDescent="0.25">
      <c r="A44" s="139" t="s">
        <v>184</v>
      </c>
      <c r="B44" s="165" t="s">
        <v>300</v>
      </c>
    </row>
    <row r="45" spans="1:4" x14ac:dyDescent="0.25">
      <c r="A45" s="139" t="s">
        <v>185</v>
      </c>
      <c r="B45" s="165" t="s">
        <v>300</v>
      </c>
    </row>
    <row r="46" spans="1:4" x14ac:dyDescent="0.25">
      <c r="A46" s="139" t="s">
        <v>186</v>
      </c>
      <c r="B46" s="165" t="s">
        <v>300</v>
      </c>
      <c r="D46" s="131"/>
    </row>
    <row r="47" spans="1:4" ht="28.5" x14ac:dyDescent="0.25">
      <c r="A47" s="137" t="s">
        <v>189</v>
      </c>
      <c r="B47" s="165" t="s">
        <v>300</v>
      </c>
    </row>
    <row r="48" spans="1:4" x14ac:dyDescent="0.25">
      <c r="A48" s="90" t="s">
        <v>181</v>
      </c>
      <c r="B48" s="141"/>
    </row>
    <row r="49" spans="1:5" x14ac:dyDescent="0.25">
      <c r="A49" s="90" t="s">
        <v>190</v>
      </c>
      <c r="B49" s="140">
        <v>0</v>
      </c>
    </row>
    <row r="50" spans="1:5" x14ac:dyDescent="0.25">
      <c r="A50" s="90" t="s">
        <v>191</v>
      </c>
      <c r="B50" s="140">
        <v>0</v>
      </c>
    </row>
    <row r="51" spans="1:5" x14ac:dyDescent="0.25">
      <c r="A51" s="90" t="s">
        <v>192</v>
      </c>
      <c r="B51" s="140" t="str">
        <f>B44</f>
        <v>нд</v>
      </c>
    </row>
    <row r="52" spans="1:5" x14ac:dyDescent="0.25">
      <c r="A52" s="137" t="s">
        <v>451</v>
      </c>
      <c r="B52" s="160">
        <f>B53+B54</f>
        <v>0</v>
      </c>
    </row>
    <row r="53" spans="1:5" x14ac:dyDescent="0.25">
      <c r="A53" s="137" t="s">
        <v>452</v>
      </c>
      <c r="B53" s="142"/>
    </row>
    <row r="54" spans="1:5" x14ac:dyDescent="0.25">
      <c r="A54" s="137" t="s">
        <v>453</v>
      </c>
      <c r="B54" s="143">
        <v>0</v>
      </c>
    </row>
    <row r="55" spans="1:5" x14ac:dyDescent="0.25">
      <c r="A55" s="137" t="s">
        <v>193</v>
      </c>
      <c r="B55" s="144">
        <f>B56/$B$27</f>
        <v>1</v>
      </c>
    </row>
    <row r="56" spans="1:5" x14ac:dyDescent="0.25">
      <c r="A56" s="137" t="s">
        <v>194</v>
      </c>
      <c r="B56" s="89">
        <f>'6.2. Паспорт фин осв ввод'!$D$24</f>
        <v>12.36925081</v>
      </c>
      <c r="C56" s="131">
        <f>B35</f>
        <v>12.36925081</v>
      </c>
      <c r="D56" s="134">
        <f>B56-C56</f>
        <v>0</v>
      </c>
      <c r="E56" s="133"/>
    </row>
    <row r="57" spans="1:5" x14ac:dyDescent="0.25">
      <c r="A57" s="137" t="s">
        <v>195</v>
      </c>
      <c r="B57" s="144">
        <f>$B58/'6.2. Паспорт фин осв ввод'!$D$30</f>
        <v>1</v>
      </c>
      <c r="D57" s="134"/>
    </row>
    <row r="58" spans="1:5" x14ac:dyDescent="0.25">
      <c r="A58" s="137" t="s">
        <v>196</v>
      </c>
      <c r="B58" s="89">
        <f>'6.2. Паспорт фин осв ввод'!$D$30</f>
        <v>10.850220009999999</v>
      </c>
      <c r="C58" s="132">
        <f>B36/1.2</f>
        <v>10.850220008333334</v>
      </c>
      <c r="D58" s="134">
        <f>B58-C58</f>
        <v>1.6666650282104456E-9</v>
      </c>
      <c r="E58" s="133"/>
    </row>
    <row r="59" spans="1:5" x14ac:dyDescent="0.25">
      <c r="A59" s="145" t="s">
        <v>197</v>
      </c>
      <c r="B59" s="90"/>
    </row>
    <row r="60" spans="1:5" x14ac:dyDescent="0.25">
      <c r="A60" s="146" t="s">
        <v>198</v>
      </c>
      <c r="B60" s="90" t="s">
        <v>287</v>
      </c>
    </row>
    <row r="61" spans="1:5" x14ac:dyDescent="0.25">
      <c r="A61" s="146" t="s">
        <v>199</v>
      </c>
      <c r="B61" s="90" t="s">
        <v>483</v>
      </c>
    </row>
    <row r="62" spans="1:5" x14ac:dyDescent="0.25">
      <c r="A62" s="146" t="s">
        <v>200</v>
      </c>
      <c r="B62" s="90"/>
    </row>
    <row r="63" spans="1:5" x14ac:dyDescent="0.25">
      <c r="A63" s="146" t="s">
        <v>201</v>
      </c>
      <c r="B63" s="90" t="s">
        <v>483</v>
      </c>
    </row>
    <row r="64" spans="1:5" x14ac:dyDescent="0.25">
      <c r="A64" s="146" t="s">
        <v>202</v>
      </c>
      <c r="B64" s="90" t="s">
        <v>300</v>
      </c>
    </row>
    <row r="65" spans="1:2" ht="14.25" customHeight="1" x14ac:dyDescent="0.25">
      <c r="A65" s="90" t="s">
        <v>203</v>
      </c>
      <c r="B65" s="90" t="s">
        <v>300</v>
      </c>
    </row>
    <row r="66" spans="1:2" ht="28.5" x14ac:dyDescent="0.25">
      <c r="A66" s="137" t="s">
        <v>204</v>
      </c>
      <c r="B66" s="90" t="s">
        <v>300</v>
      </c>
    </row>
    <row r="67" spans="1:2" x14ac:dyDescent="0.25">
      <c r="A67" s="90" t="s">
        <v>181</v>
      </c>
      <c r="B67" s="90" t="s">
        <v>300</v>
      </c>
    </row>
    <row r="68" spans="1:2" x14ac:dyDescent="0.25">
      <c r="A68" s="90" t="s">
        <v>205</v>
      </c>
      <c r="B68" s="90" t="s">
        <v>300</v>
      </c>
    </row>
    <row r="69" spans="1:2" x14ac:dyDescent="0.25">
      <c r="A69" s="90" t="s">
        <v>206</v>
      </c>
      <c r="B69" s="90" t="s">
        <v>300</v>
      </c>
    </row>
    <row r="70" spans="1:2" x14ac:dyDescent="0.25">
      <c r="A70" s="147" t="s">
        <v>207</v>
      </c>
      <c r="B70" s="90" t="s">
        <v>300</v>
      </c>
    </row>
    <row r="71" spans="1:2" x14ac:dyDescent="0.25">
      <c r="A71" s="137" t="s">
        <v>208</v>
      </c>
      <c r="B71" s="90" t="s">
        <v>300</v>
      </c>
    </row>
    <row r="72" spans="1:2" x14ac:dyDescent="0.25">
      <c r="A72" s="90" t="s">
        <v>209</v>
      </c>
      <c r="B72" s="90" t="s">
        <v>300</v>
      </c>
    </row>
    <row r="73" spans="1:2" x14ac:dyDescent="0.25">
      <c r="A73" s="90" t="s">
        <v>210</v>
      </c>
      <c r="B73" s="90" t="s">
        <v>300</v>
      </c>
    </row>
    <row r="74" spans="1:2" x14ac:dyDescent="0.25">
      <c r="A74" s="90" t="s">
        <v>211</v>
      </c>
      <c r="B74" s="90" t="s">
        <v>300</v>
      </c>
    </row>
    <row r="75" spans="1:2" ht="28.5" x14ac:dyDescent="0.25">
      <c r="A75" s="148" t="s">
        <v>212</v>
      </c>
      <c r="B75" s="90" t="str">
        <f>$B$26</f>
        <v>Проектирование</v>
      </c>
    </row>
    <row r="76" spans="1:2" ht="28.5" x14ac:dyDescent="0.25">
      <c r="A76" s="137" t="s">
        <v>213</v>
      </c>
      <c r="B76" s="296"/>
    </row>
    <row r="77" spans="1:2" x14ac:dyDescent="0.25">
      <c r="A77" s="90" t="s">
        <v>214</v>
      </c>
      <c r="B77" s="296"/>
    </row>
    <row r="78" spans="1:2" x14ac:dyDescent="0.25">
      <c r="A78" s="90" t="s">
        <v>215</v>
      </c>
      <c r="B78" s="296"/>
    </row>
    <row r="79" spans="1:2" x14ac:dyDescent="0.25">
      <c r="A79" s="90" t="s">
        <v>216</v>
      </c>
      <c r="B79" s="296"/>
    </row>
    <row r="80" spans="1:2" x14ac:dyDescent="0.25">
      <c r="A80" s="90" t="s">
        <v>217</v>
      </c>
      <c r="B80" s="296"/>
    </row>
    <row r="81" spans="1:2" x14ac:dyDescent="0.25">
      <c r="A81" s="149" t="s">
        <v>218</v>
      </c>
      <c r="B81" s="296"/>
    </row>
  </sheetData>
  <mergeCells count="10">
    <mergeCell ref="B76:B8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8"/>
  <sheetViews>
    <sheetView view="pageBreakPreview" topLeftCell="H1" zoomScale="60" workbookViewId="0">
      <selection activeCell="Q23" sqref="Q23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78.28515625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7"/>
      <c r="S1" s="28" t="s">
        <v>57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56</v>
      </c>
    </row>
    <row r="4" spans="1:24" s="2" customFormat="1" ht="15.75" x14ac:dyDescent="0.2">
      <c r="A4" s="188" t="str">
        <f>'1. паспорт местоположение'!$A$5</f>
        <v>Год раскрытия информации: 2024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4" s="2" customFormat="1" ht="15.75" x14ac:dyDescent="0.2">
      <c r="A5" s="30"/>
    </row>
    <row r="6" spans="1:24" s="2" customFormat="1" ht="18.75" x14ac:dyDescent="0.2">
      <c r="A6" s="192" t="s">
        <v>5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</row>
    <row r="7" spans="1:24" s="2" customFormat="1" ht="18.75" x14ac:dyDescent="0.2">
      <c r="A7" s="192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</row>
    <row r="8" spans="1:24" s="2" customFormat="1" ht="18.75" customHeight="1" x14ac:dyDescent="0.2">
      <c r="A8" s="193" t="s">
        <v>308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</row>
    <row r="9" spans="1:24" s="2" customFormat="1" ht="18.75" customHeight="1" x14ac:dyDescent="0.2">
      <c r="A9" s="194" t="s">
        <v>4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</row>
    <row r="10" spans="1:24" s="2" customFormat="1" ht="18.75" x14ac:dyDescent="0.2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</row>
    <row r="11" spans="1:24" s="2" customFormat="1" ht="18.75" customHeight="1" x14ac:dyDescent="0.2">
      <c r="A11" s="157"/>
      <c r="B11" s="157"/>
      <c r="C11" s="157"/>
      <c r="D11" s="157"/>
      <c r="E11" s="157"/>
      <c r="F11" s="157"/>
      <c r="G11" s="157"/>
      <c r="H11" s="193" t="str">
        <f>'1. паспорт местоположение'!$A$12</f>
        <v>O_Che475</v>
      </c>
      <c r="I11" s="193"/>
      <c r="J11" s="193"/>
      <c r="K11" s="157"/>
      <c r="L11" s="157"/>
      <c r="M11" s="157"/>
      <c r="N11" s="157"/>
      <c r="O11" s="157"/>
      <c r="P11" s="157"/>
      <c r="Q11" s="157"/>
      <c r="R11" s="157"/>
      <c r="S11" s="157"/>
    </row>
    <row r="12" spans="1:24" s="2" customFormat="1" ht="18.75" customHeight="1" x14ac:dyDescent="0.2">
      <c r="A12" s="194" t="s">
        <v>3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</row>
    <row r="13" spans="1:24" s="44" customFormat="1" ht="15.75" customHeight="1" x14ac:dyDescent="0.2">
      <c r="A13" s="203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</row>
    <row r="14" spans="1:24" s="45" customFormat="1" ht="15.75" x14ac:dyDescent="0.2">
      <c r="A14" s="193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</row>
    <row r="15" spans="1:24" s="45" customFormat="1" ht="15" customHeight="1" x14ac:dyDescent="0.2">
      <c r="A15" s="194" t="s">
        <v>2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</row>
    <row r="16" spans="1:24" s="45" customFormat="1" ht="15" customHeight="1" x14ac:dyDescent="0.2">
      <c r="A16" s="196"/>
      <c r="B16" s="196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66"/>
      <c r="U16" s="66"/>
      <c r="V16" s="66"/>
      <c r="W16" s="66"/>
      <c r="X16" s="66"/>
    </row>
    <row r="17" spans="1:28" s="45" customFormat="1" ht="45.75" customHeight="1" x14ac:dyDescent="0.2">
      <c r="A17" s="198" t="s">
        <v>454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75"/>
      <c r="U17" s="75"/>
      <c r="V17" s="75"/>
      <c r="W17" s="75"/>
      <c r="X17" s="75"/>
      <c r="Y17" s="75"/>
      <c r="Z17" s="75"/>
      <c r="AA17" s="75"/>
    </row>
    <row r="18" spans="1:28" s="45" customFormat="1" ht="15" customHeight="1" x14ac:dyDescent="0.2">
      <c r="A18" s="199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66"/>
      <c r="U18" s="66"/>
      <c r="V18" s="66"/>
      <c r="W18" s="66"/>
      <c r="X18" s="66"/>
    </row>
    <row r="19" spans="1:28" s="45" customFormat="1" ht="54" customHeight="1" x14ac:dyDescent="0.2">
      <c r="A19" s="197" t="s">
        <v>1</v>
      </c>
      <c r="B19" s="197" t="s">
        <v>309</v>
      </c>
      <c r="C19" s="200" t="s">
        <v>310</v>
      </c>
      <c r="D19" s="197" t="s">
        <v>311</v>
      </c>
      <c r="E19" s="197" t="s">
        <v>312</v>
      </c>
      <c r="F19" s="197" t="s">
        <v>313</v>
      </c>
      <c r="G19" s="197" t="s">
        <v>314</v>
      </c>
      <c r="H19" s="197" t="s">
        <v>315</v>
      </c>
      <c r="I19" s="197" t="s">
        <v>316</v>
      </c>
      <c r="J19" s="197" t="s">
        <v>317</v>
      </c>
      <c r="K19" s="197" t="s">
        <v>318</v>
      </c>
      <c r="L19" s="197" t="s">
        <v>319</v>
      </c>
      <c r="M19" s="197" t="s">
        <v>320</v>
      </c>
      <c r="N19" s="197" t="s">
        <v>321</v>
      </c>
      <c r="O19" s="197" t="s">
        <v>322</v>
      </c>
      <c r="P19" s="197" t="s">
        <v>323</v>
      </c>
      <c r="Q19" s="197" t="s">
        <v>324</v>
      </c>
      <c r="R19" s="197"/>
      <c r="S19" s="202" t="s">
        <v>325</v>
      </c>
      <c r="T19" s="66"/>
      <c r="U19" s="66"/>
      <c r="V19" s="66"/>
      <c r="W19" s="66"/>
      <c r="X19" s="66"/>
    </row>
    <row r="20" spans="1:28" s="45" customFormat="1" ht="180.75" customHeight="1" x14ac:dyDescent="0.2">
      <c r="A20" s="197"/>
      <c r="B20" s="197"/>
      <c r="C20" s="201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01" t="s">
        <v>326</v>
      </c>
      <c r="R20" s="46" t="s">
        <v>327</v>
      </c>
      <c r="S20" s="202"/>
      <c r="T20" s="68"/>
      <c r="U20" s="68"/>
      <c r="V20" s="68"/>
      <c r="W20" s="68"/>
      <c r="X20" s="68"/>
      <c r="Y20" s="81"/>
      <c r="Z20" s="81"/>
      <c r="AA20" s="81"/>
    </row>
    <row r="21" spans="1:28" s="45" customFormat="1" ht="18.75" x14ac:dyDescent="0.2">
      <c r="A21" s="101">
        <v>1</v>
      </c>
      <c r="B21" s="124">
        <v>2</v>
      </c>
      <c r="C21" s="101">
        <v>3</v>
      </c>
      <c r="D21" s="124">
        <v>4</v>
      </c>
      <c r="E21" s="101">
        <v>5</v>
      </c>
      <c r="F21" s="124">
        <v>6</v>
      </c>
      <c r="G21" s="101">
        <v>7</v>
      </c>
      <c r="H21" s="124">
        <v>8</v>
      </c>
      <c r="I21" s="101">
        <v>9</v>
      </c>
      <c r="J21" s="124">
        <v>10</v>
      </c>
      <c r="K21" s="101">
        <v>11</v>
      </c>
      <c r="L21" s="124">
        <v>12</v>
      </c>
      <c r="M21" s="101">
        <v>13</v>
      </c>
      <c r="N21" s="124">
        <v>14</v>
      </c>
      <c r="O21" s="101">
        <v>15</v>
      </c>
      <c r="P21" s="124">
        <v>16</v>
      </c>
      <c r="Q21" s="101">
        <v>17</v>
      </c>
      <c r="R21" s="124">
        <v>18</v>
      </c>
      <c r="S21" s="101">
        <v>19</v>
      </c>
      <c r="T21" s="68"/>
      <c r="U21" s="68"/>
      <c r="V21" s="68"/>
      <c r="W21" s="68"/>
      <c r="X21" s="68"/>
      <c r="Y21" s="81"/>
      <c r="Z21" s="81"/>
      <c r="AA21" s="81"/>
    </row>
    <row r="22" spans="1:28" s="45" customFormat="1" ht="31.5" x14ac:dyDescent="0.2">
      <c r="A22" s="79">
        <v>1</v>
      </c>
      <c r="B22" s="78" t="s">
        <v>493</v>
      </c>
      <c r="C22" s="78" t="s">
        <v>447</v>
      </c>
      <c r="D22" s="78" t="str">
        <f>IF(B22="нд","нд",IF('3.3 паспорт описание'!C31="Объект введен на основные фонды",'3.3 паспорт описание'!C31,"в работе"))</f>
        <v>в работе</v>
      </c>
      <c r="E22" s="78" t="s">
        <v>469</v>
      </c>
      <c r="F22" s="78" t="s">
        <v>494</v>
      </c>
      <c r="G22" s="78" t="s">
        <v>463</v>
      </c>
      <c r="H22" s="78" t="s">
        <v>300</v>
      </c>
      <c r="I22" s="78" t="s">
        <v>300</v>
      </c>
      <c r="J22" s="78" t="s">
        <v>300</v>
      </c>
      <c r="K22" s="78" t="s">
        <v>300</v>
      </c>
      <c r="L22" s="78" t="s">
        <v>300</v>
      </c>
      <c r="M22" s="78">
        <v>0</v>
      </c>
      <c r="N22" s="78" t="s">
        <v>300</v>
      </c>
      <c r="O22" s="78" t="s">
        <v>300</v>
      </c>
      <c r="P22" s="78" t="s">
        <v>300</v>
      </c>
      <c r="Q22" s="82" t="s">
        <v>470</v>
      </c>
      <c r="R22" s="78" t="s">
        <v>300</v>
      </c>
      <c r="S22" s="168">
        <v>17.253131530000001</v>
      </c>
      <c r="T22" s="166"/>
      <c r="U22" s="166"/>
      <c r="V22" s="166"/>
      <c r="W22" s="166"/>
      <c r="X22" s="166"/>
      <c r="Y22" s="166"/>
      <c r="Z22" s="81"/>
      <c r="AA22" s="81"/>
      <c r="AB22" s="81"/>
    </row>
    <row r="23" spans="1:28" ht="20.25" customHeight="1" x14ac:dyDescent="0.25">
      <c r="A23" s="126"/>
      <c r="B23" s="125" t="s">
        <v>446</v>
      </c>
      <c r="C23" s="125"/>
      <c r="D23" s="125"/>
      <c r="E23" s="126" t="s">
        <v>447</v>
      </c>
      <c r="F23" s="126" t="s">
        <v>447</v>
      </c>
      <c r="G23" s="126" t="s">
        <v>447</v>
      </c>
      <c r="H23" s="126">
        <f>SUM(H22:H22)</f>
        <v>0</v>
      </c>
      <c r="I23" s="126"/>
      <c r="J23" s="126"/>
      <c r="K23" s="126"/>
      <c r="L23" s="126"/>
      <c r="M23" s="126"/>
      <c r="N23" s="126"/>
      <c r="O23" s="126"/>
      <c r="P23" s="126"/>
      <c r="Q23" s="127"/>
      <c r="R23" s="128"/>
      <c r="S23" s="128"/>
      <c r="T23" s="57"/>
      <c r="U23" s="57"/>
      <c r="V23" s="57"/>
      <c r="W23" s="57"/>
      <c r="X23" s="57"/>
      <c r="Y23" s="57"/>
      <c r="Z23" s="57"/>
      <c r="AA23" s="57"/>
    </row>
    <row r="24" spans="1:28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</row>
    <row r="25" spans="1:28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8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8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8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8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8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8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8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</sheetData>
  <mergeCells count="32"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5:S15"/>
    <mergeCell ref="A10:S10"/>
    <mergeCell ref="A12:S12"/>
    <mergeCell ref="A13:S13"/>
    <mergeCell ref="A14:S14"/>
    <mergeCell ref="H11:J11"/>
    <mergeCell ref="A16:S16"/>
    <mergeCell ref="G19:G20"/>
    <mergeCell ref="O19:O20"/>
    <mergeCell ref="P19:P20"/>
    <mergeCell ref="A17:S17"/>
    <mergeCell ref="K19:K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9" zoomScale="85" zoomScaleNormal="60" zoomScaleSheetLayoutView="85" workbookViewId="0">
      <selection activeCell="A25" sqref="A25:T25"/>
    </sheetView>
  </sheetViews>
  <sheetFormatPr defaultColWidth="10.7109375" defaultRowHeight="15.75" x14ac:dyDescent="0.25"/>
  <cols>
    <col min="1" max="1" width="9.5703125" style="48" customWidth="1"/>
    <col min="2" max="2" width="8.7109375" style="48" customWidth="1"/>
    <col min="3" max="3" width="26" style="48" customWidth="1"/>
    <col min="4" max="4" width="23.42578125" style="48" customWidth="1"/>
    <col min="5" max="5" width="11.140625" style="48" customWidth="1"/>
    <col min="6" max="6" width="15.140625" style="48" customWidth="1"/>
    <col min="7" max="7" width="8.7109375" style="48" customWidth="1"/>
    <col min="8" max="8" width="11.28515625" style="48" customWidth="1"/>
    <col min="9" max="9" width="7.28515625" style="48" customWidth="1"/>
    <col min="10" max="10" width="9.28515625" style="48" customWidth="1"/>
    <col min="11" max="11" width="10.28515625" style="48" customWidth="1"/>
    <col min="12" max="15" width="8.7109375" style="48" customWidth="1"/>
    <col min="16" max="16" width="19.42578125" style="48" customWidth="1"/>
    <col min="17" max="17" width="21.7109375" style="48" customWidth="1"/>
    <col min="18" max="18" width="22" style="48" customWidth="1"/>
    <col min="19" max="19" width="19.7109375" style="48" customWidth="1"/>
    <col min="20" max="20" width="18.42578125" style="48" customWidth="1"/>
    <col min="21" max="237" width="10.7109375" style="48"/>
    <col min="238" max="242" width="15.7109375" style="48" customWidth="1"/>
    <col min="243" max="246" width="12.7109375" style="48" customWidth="1"/>
    <col min="247" max="250" width="15.7109375" style="48" customWidth="1"/>
    <col min="251" max="251" width="22.85546875" style="48" customWidth="1"/>
    <col min="252" max="252" width="20.7109375" style="48" customWidth="1"/>
    <col min="253" max="253" width="16.7109375" style="48" customWidth="1"/>
    <col min="254" max="16384" width="10.7109375" style="48"/>
  </cols>
  <sheetData>
    <row r="1" spans="1:20" ht="3" customHeight="1" x14ac:dyDescent="0.25"/>
    <row r="2" spans="1:20" ht="15" customHeight="1" x14ac:dyDescent="0.25">
      <c r="T2" s="28" t="s">
        <v>57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56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188" t="str">
        <f>'1. паспорт местоположение'!$A$5</f>
        <v>Год раскрытия информации: 2024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30"/>
    </row>
    <row r="8" spans="1:20" s="2" customFormat="1" ht="18.75" x14ac:dyDescent="0.2">
      <c r="A8" s="192" t="s">
        <v>5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</row>
    <row r="9" spans="1:20" s="2" customFormat="1" ht="18.75" x14ac:dyDescent="0.2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</row>
    <row r="10" spans="1:20" s="2" customFormat="1" ht="18.75" customHeight="1" x14ac:dyDescent="0.2">
      <c r="A10" s="193" t="s">
        <v>308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</row>
    <row r="11" spans="1:20" s="2" customFormat="1" ht="18.75" customHeight="1" x14ac:dyDescent="0.2">
      <c r="A11" s="194" t="s">
        <v>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</row>
    <row r="12" spans="1:20" s="2" customFormat="1" ht="18.75" x14ac:dyDescent="0.2">
      <c r="A12" s="192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0" s="2" customFormat="1" ht="18.75" customHeight="1" x14ac:dyDescent="0.2">
      <c r="A13" s="193" t="str">
        <f>'1. паспорт местоположение'!A12:C12</f>
        <v>O_Che475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</row>
    <row r="14" spans="1:20" s="2" customFormat="1" ht="18.75" customHeight="1" x14ac:dyDescent="0.2">
      <c r="A14" s="194" t="s">
        <v>3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</row>
    <row r="15" spans="1:20" s="44" customFormat="1" ht="15.75" customHeight="1" x14ac:dyDescent="0.2">
      <c r="A15" s="203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</row>
    <row r="16" spans="1:20" s="45" customFormat="1" ht="52.5" customHeight="1" x14ac:dyDescent="0.2">
      <c r="A16" s="195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</row>
    <row r="17" spans="1:113" s="45" customFormat="1" ht="15" customHeight="1" x14ac:dyDescent="0.2">
      <c r="A17" s="194" t="s">
        <v>2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</row>
    <row r="18" spans="1:113" s="45" customFormat="1" ht="15" customHeight="1" x14ac:dyDescent="0.2">
      <c r="A18" s="196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</row>
    <row r="19" spans="1:113" s="45" customFormat="1" ht="15" customHeight="1" x14ac:dyDescent="0.2">
      <c r="A19" s="204" t="s">
        <v>328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</row>
    <row r="20" spans="1:113" s="47" customFormat="1" ht="21" customHeight="1" x14ac:dyDescent="0.25">
      <c r="A20" s="216"/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</row>
    <row r="21" spans="1:113" ht="46.5" customHeight="1" x14ac:dyDescent="0.25">
      <c r="A21" s="217" t="s">
        <v>1</v>
      </c>
      <c r="B21" s="206" t="s">
        <v>329</v>
      </c>
      <c r="C21" s="207"/>
      <c r="D21" s="210" t="s">
        <v>330</v>
      </c>
      <c r="E21" s="206" t="s">
        <v>331</v>
      </c>
      <c r="F21" s="207"/>
      <c r="G21" s="206" t="s">
        <v>332</v>
      </c>
      <c r="H21" s="207"/>
      <c r="I21" s="206" t="s">
        <v>333</v>
      </c>
      <c r="J21" s="207"/>
      <c r="K21" s="210" t="s">
        <v>334</v>
      </c>
      <c r="L21" s="206" t="s">
        <v>335</v>
      </c>
      <c r="M21" s="207"/>
      <c r="N21" s="206" t="s">
        <v>357</v>
      </c>
      <c r="O21" s="207"/>
      <c r="P21" s="210" t="s">
        <v>336</v>
      </c>
      <c r="Q21" s="213" t="s">
        <v>337</v>
      </c>
      <c r="R21" s="214"/>
      <c r="S21" s="213" t="s">
        <v>338</v>
      </c>
      <c r="T21" s="215"/>
    </row>
    <row r="22" spans="1:113" ht="204.75" customHeight="1" x14ac:dyDescent="0.25">
      <c r="A22" s="218"/>
      <c r="B22" s="208"/>
      <c r="C22" s="209"/>
      <c r="D22" s="212"/>
      <c r="E22" s="208"/>
      <c r="F22" s="209"/>
      <c r="G22" s="208"/>
      <c r="H22" s="209"/>
      <c r="I22" s="208"/>
      <c r="J22" s="209"/>
      <c r="K22" s="211"/>
      <c r="L22" s="208"/>
      <c r="M22" s="209"/>
      <c r="N22" s="208"/>
      <c r="O22" s="209"/>
      <c r="P22" s="211"/>
      <c r="Q22" s="49" t="s">
        <v>339</v>
      </c>
      <c r="R22" s="49" t="s">
        <v>340</v>
      </c>
      <c r="S22" s="49" t="s">
        <v>341</v>
      </c>
      <c r="T22" s="49" t="s">
        <v>342</v>
      </c>
    </row>
    <row r="23" spans="1:113" ht="51.75" customHeight="1" x14ac:dyDescent="0.25">
      <c r="A23" s="219"/>
      <c r="B23" s="49" t="s">
        <v>343</v>
      </c>
      <c r="C23" s="49" t="s">
        <v>344</v>
      </c>
      <c r="D23" s="211"/>
      <c r="E23" s="49" t="s">
        <v>343</v>
      </c>
      <c r="F23" s="49" t="s">
        <v>344</v>
      </c>
      <c r="G23" s="49" t="s">
        <v>343</v>
      </c>
      <c r="H23" s="49" t="s">
        <v>344</v>
      </c>
      <c r="I23" s="49" t="s">
        <v>343</v>
      </c>
      <c r="J23" s="49" t="s">
        <v>344</v>
      </c>
      <c r="K23" s="49" t="s">
        <v>343</v>
      </c>
      <c r="L23" s="49" t="s">
        <v>343</v>
      </c>
      <c r="M23" s="49" t="s">
        <v>344</v>
      </c>
      <c r="N23" s="49" t="s">
        <v>343</v>
      </c>
      <c r="O23" s="49" t="s">
        <v>344</v>
      </c>
      <c r="P23" s="69" t="s">
        <v>343</v>
      </c>
      <c r="Q23" s="49" t="s">
        <v>343</v>
      </c>
      <c r="R23" s="49" t="s">
        <v>343</v>
      </c>
      <c r="S23" s="49" t="s">
        <v>343</v>
      </c>
      <c r="T23" s="49" t="s">
        <v>343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170" customFormat="1" ht="108.75" customHeight="1" x14ac:dyDescent="0.25">
      <c r="A25" s="171" t="s">
        <v>300</v>
      </c>
      <c r="B25" s="171" t="s">
        <v>300</v>
      </c>
      <c r="C25" s="171" t="s">
        <v>300</v>
      </c>
      <c r="D25" s="171" t="s">
        <v>300</v>
      </c>
      <c r="E25" s="171" t="s">
        <v>300</v>
      </c>
      <c r="F25" s="171" t="s">
        <v>300</v>
      </c>
      <c r="G25" s="171" t="s">
        <v>300</v>
      </c>
      <c r="H25" s="171" t="s">
        <v>300</v>
      </c>
      <c r="I25" s="171" t="s">
        <v>300</v>
      </c>
      <c r="J25" s="171" t="s">
        <v>300</v>
      </c>
      <c r="K25" s="171" t="s">
        <v>300</v>
      </c>
      <c r="L25" s="171" t="s">
        <v>300</v>
      </c>
      <c r="M25" s="171" t="s">
        <v>300</v>
      </c>
      <c r="N25" s="171" t="s">
        <v>300</v>
      </c>
      <c r="O25" s="171" t="s">
        <v>300</v>
      </c>
      <c r="P25" s="171" t="s">
        <v>300</v>
      </c>
      <c r="Q25" s="171" t="s">
        <v>300</v>
      </c>
      <c r="R25" s="171" t="s">
        <v>300</v>
      </c>
      <c r="S25" s="171" t="s">
        <v>300</v>
      </c>
      <c r="T25" s="171" t="s">
        <v>300</v>
      </c>
    </row>
    <row r="26" spans="1:113" ht="3" customHeight="1" x14ac:dyDescent="0.25">
      <c r="A26" s="48" t="s">
        <v>300</v>
      </c>
    </row>
    <row r="27" spans="1:113" s="117" customFormat="1" ht="12.75" x14ac:dyDescent="0.2">
      <c r="B27" s="116"/>
      <c r="C27" s="116"/>
      <c r="K27" s="116"/>
    </row>
    <row r="28" spans="1:113" s="117" customFormat="1" x14ac:dyDescent="0.25">
      <c r="B28" s="119" t="s">
        <v>345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113" x14ac:dyDescent="0.25">
      <c r="B29" s="205" t="s">
        <v>346</v>
      </c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</row>
    <row r="30" spans="1:113" x14ac:dyDescent="0.25"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</row>
    <row r="31" spans="1:113" x14ac:dyDescent="0.25">
      <c r="B31" s="120" t="s">
        <v>347</v>
      </c>
      <c r="C31" s="120"/>
      <c r="D31" s="120"/>
      <c r="E31" s="120"/>
      <c r="F31" s="121"/>
      <c r="G31" s="121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2"/>
      <c r="T31" s="122"/>
      <c r="U31" s="122"/>
      <c r="V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</row>
    <row r="32" spans="1:113" x14ac:dyDescent="0.25">
      <c r="B32" s="120" t="s">
        <v>348</v>
      </c>
      <c r="C32" s="120"/>
      <c r="D32" s="120"/>
      <c r="E32" s="120"/>
      <c r="F32" s="121"/>
      <c r="G32" s="121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</row>
    <row r="33" spans="2:113" s="121" customFormat="1" x14ac:dyDescent="0.25">
      <c r="B33" s="120" t="s">
        <v>349</v>
      </c>
      <c r="C33" s="120"/>
      <c r="D33" s="120"/>
      <c r="E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s="121" customFormat="1" x14ac:dyDescent="0.25">
      <c r="B34" s="120" t="s">
        <v>350</v>
      </c>
      <c r="C34" s="120"/>
      <c r="D34" s="120"/>
      <c r="E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</row>
    <row r="35" spans="2:113" s="121" customFormat="1" x14ac:dyDescent="0.25">
      <c r="B35" s="120" t="s">
        <v>351</v>
      </c>
      <c r="C35" s="120"/>
      <c r="D35" s="120"/>
      <c r="E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  <c r="CD35" s="123"/>
      <c r="CE35" s="123"/>
      <c r="CF35" s="123"/>
      <c r="CG35" s="123"/>
      <c r="CH35" s="123"/>
      <c r="CI35" s="123"/>
      <c r="CJ35" s="123"/>
      <c r="CK35" s="123"/>
      <c r="CL35" s="123"/>
      <c r="CM35" s="123"/>
      <c r="CN35" s="123"/>
      <c r="CO35" s="123"/>
      <c r="CP35" s="123"/>
      <c r="CQ35" s="123"/>
      <c r="CR35" s="123"/>
      <c r="CS35" s="123"/>
      <c r="CT35" s="123"/>
      <c r="CU35" s="123"/>
      <c r="CV35" s="123"/>
      <c r="CW35" s="123"/>
      <c r="CX35" s="123"/>
      <c r="CY35" s="123"/>
      <c r="CZ35" s="123"/>
      <c r="DA35" s="123"/>
      <c r="DB35" s="123"/>
      <c r="DC35" s="123"/>
      <c r="DD35" s="123"/>
      <c r="DE35" s="123"/>
      <c r="DF35" s="123"/>
      <c r="DG35" s="123"/>
      <c r="DH35" s="123"/>
      <c r="DI35" s="123"/>
    </row>
    <row r="36" spans="2:113" s="121" customFormat="1" x14ac:dyDescent="0.25">
      <c r="B36" s="120" t="s">
        <v>352</v>
      </c>
      <c r="C36" s="120"/>
      <c r="D36" s="120"/>
      <c r="E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</row>
    <row r="37" spans="2:113" s="121" customFormat="1" x14ac:dyDescent="0.25">
      <c r="B37" s="120" t="s">
        <v>353</v>
      </c>
      <c r="C37" s="120"/>
      <c r="D37" s="120"/>
      <c r="E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/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23"/>
      <c r="DD37" s="123"/>
      <c r="DE37" s="123"/>
      <c r="DF37" s="123"/>
      <c r="DG37" s="123"/>
      <c r="DH37" s="123"/>
      <c r="DI37" s="123"/>
    </row>
    <row r="38" spans="2:113" s="121" customFormat="1" x14ac:dyDescent="0.25">
      <c r="B38" s="120" t="s">
        <v>354</v>
      </c>
      <c r="C38" s="120"/>
      <c r="D38" s="120"/>
      <c r="E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3"/>
      <c r="CL38" s="123"/>
      <c r="CM38" s="123"/>
      <c r="CN38" s="123"/>
      <c r="CO38" s="123"/>
      <c r="CP38" s="123"/>
      <c r="CQ38" s="123"/>
      <c r="CR38" s="123"/>
      <c r="CS38" s="123"/>
      <c r="CT38" s="123"/>
      <c r="CU38" s="123"/>
      <c r="CV38" s="123"/>
      <c r="CW38" s="123"/>
      <c r="CX38" s="123"/>
      <c r="CY38" s="123"/>
      <c r="CZ38" s="123"/>
      <c r="DA38" s="123"/>
      <c r="DB38" s="123"/>
      <c r="DC38" s="123"/>
      <c r="DD38" s="123"/>
      <c r="DE38" s="123"/>
      <c r="DF38" s="123"/>
      <c r="DG38" s="123"/>
      <c r="DH38" s="123"/>
      <c r="DI38" s="123"/>
    </row>
    <row r="39" spans="2:113" s="121" customFormat="1" x14ac:dyDescent="0.25">
      <c r="B39" s="120" t="s">
        <v>355</v>
      </c>
      <c r="C39" s="120"/>
      <c r="D39" s="120"/>
      <c r="E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  <c r="CD39" s="123"/>
      <c r="CE39" s="123"/>
      <c r="CF39" s="123"/>
      <c r="CG39" s="123"/>
      <c r="CH39" s="123"/>
      <c r="CI39" s="123"/>
      <c r="CJ39" s="123"/>
      <c r="CK39" s="123"/>
      <c r="CL39" s="123"/>
      <c r="CM39" s="123"/>
      <c r="CN39" s="123"/>
      <c r="CO39" s="123"/>
      <c r="CP39" s="123"/>
      <c r="CQ39" s="123"/>
      <c r="CR39" s="123"/>
      <c r="CS39" s="123"/>
      <c r="CT39" s="123"/>
      <c r="CU39" s="123"/>
      <c r="CV39" s="123"/>
      <c r="CW39" s="123"/>
      <c r="CX39" s="123"/>
      <c r="CY39" s="123"/>
      <c r="CZ39" s="123"/>
      <c r="DA39" s="123"/>
      <c r="DB39" s="123"/>
      <c r="DC39" s="123"/>
      <c r="DD39" s="123"/>
      <c r="DE39" s="123"/>
      <c r="DF39" s="123"/>
      <c r="DG39" s="123"/>
      <c r="DH39" s="123"/>
      <c r="DI39" s="123"/>
    </row>
    <row r="40" spans="2:113" s="121" customFormat="1" x14ac:dyDescent="0.25">
      <c r="B40" s="120" t="s">
        <v>356</v>
      </c>
      <c r="C40" s="120"/>
      <c r="D40" s="120"/>
      <c r="E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3"/>
      <c r="DA40" s="123"/>
      <c r="DB40" s="123"/>
      <c r="DC40" s="123"/>
      <c r="DD40" s="123"/>
      <c r="DE40" s="123"/>
      <c r="DF40" s="123"/>
      <c r="DG40" s="123"/>
      <c r="DH40" s="123"/>
      <c r="DI40" s="123"/>
    </row>
    <row r="41" spans="2:113" s="121" customFormat="1" x14ac:dyDescent="0.25">
      <c r="Q41" s="120"/>
      <c r="R41" s="120"/>
      <c r="S41" s="120"/>
      <c r="T41" s="120"/>
      <c r="U41" s="120"/>
      <c r="V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  <c r="CJ41" s="123"/>
      <c r="CK41" s="123"/>
      <c r="CL41" s="123"/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3"/>
      <c r="DA41" s="123"/>
      <c r="DB41" s="123"/>
      <c r="DC41" s="123"/>
      <c r="DD41" s="123"/>
      <c r="DE41" s="123"/>
      <c r="DF41" s="123"/>
      <c r="DG41" s="123"/>
      <c r="DH41" s="123"/>
      <c r="DI41" s="123"/>
    </row>
    <row r="42" spans="2:113" s="121" customFormat="1" x14ac:dyDescent="0.25"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  <c r="CD42" s="123"/>
      <c r="CE42" s="123"/>
      <c r="CF42" s="123"/>
      <c r="CG42" s="123"/>
      <c r="CH42" s="123"/>
      <c r="CI42" s="123"/>
      <c r="CJ42" s="123"/>
      <c r="CK42" s="123"/>
      <c r="CL42" s="123"/>
      <c r="CM42" s="123"/>
      <c r="CN42" s="123"/>
      <c r="CO42" s="123"/>
      <c r="CP42" s="123"/>
      <c r="CQ42" s="123"/>
      <c r="CR42" s="123"/>
      <c r="CS42" s="123"/>
      <c r="CT42" s="123"/>
      <c r="CU42" s="123"/>
      <c r="CV42" s="123"/>
      <c r="CW42" s="123"/>
      <c r="CX42" s="123"/>
      <c r="CY42" s="123"/>
      <c r="CZ42" s="123"/>
      <c r="DA42" s="123"/>
      <c r="DB42" s="123"/>
      <c r="DC42" s="123"/>
      <c r="DD42" s="123"/>
      <c r="DE42" s="123"/>
      <c r="DF42" s="123"/>
      <c r="DG42" s="123"/>
      <c r="DH42" s="123"/>
      <c r="DI42" s="123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25" sqref="A25:AA25"/>
    </sheetView>
  </sheetViews>
  <sheetFormatPr defaultColWidth="17.7109375" defaultRowHeight="15.75" x14ac:dyDescent="0.25"/>
  <cols>
    <col min="1" max="2" width="10.7109375" style="48" customWidth="1"/>
    <col min="3" max="3" width="19.7109375" style="48" customWidth="1"/>
    <col min="4" max="4" width="11.5703125" style="48" customWidth="1"/>
    <col min="5" max="5" width="19.7109375" style="48" customWidth="1"/>
    <col min="6" max="6" width="8.7109375" style="48" customWidth="1"/>
    <col min="7" max="7" width="10.28515625" style="48" customWidth="1"/>
    <col min="8" max="8" width="8.7109375" style="48" customWidth="1"/>
    <col min="9" max="9" width="8.28515625" style="48" customWidth="1"/>
    <col min="10" max="10" width="20.140625" style="48" customWidth="1"/>
    <col min="11" max="11" width="11.140625" style="48" customWidth="1"/>
    <col min="12" max="12" width="8.85546875" style="48" customWidth="1"/>
    <col min="13" max="13" width="8.7109375" style="48" customWidth="1"/>
    <col min="14" max="14" width="13.7109375" style="48" customWidth="1"/>
    <col min="15" max="16" width="8.7109375" style="48" customWidth="1"/>
    <col min="17" max="17" width="11.85546875" style="48" customWidth="1"/>
    <col min="18" max="18" width="12" style="48" customWidth="1"/>
    <col min="19" max="19" width="18.28515625" style="48" customWidth="1"/>
    <col min="20" max="20" width="22.42578125" style="48" customWidth="1"/>
    <col min="21" max="21" width="30.7109375" style="48" customWidth="1"/>
    <col min="22" max="22" width="8.7109375" style="48" customWidth="1"/>
    <col min="23" max="23" width="17.28515625" style="48" customWidth="1"/>
    <col min="24" max="24" width="24.5703125" style="48" customWidth="1"/>
    <col min="25" max="25" width="15.28515625" style="48" customWidth="1"/>
    <col min="26" max="26" width="18.5703125" style="48" customWidth="1"/>
    <col min="27" max="27" width="19.140625" style="48" customWidth="1"/>
    <col min="28" max="240" width="10.7109375" style="48" customWidth="1"/>
    <col min="241" max="242" width="15.7109375" style="48" customWidth="1"/>
    <col min="243" max="245" width="14.7109375" style="48" customWidth="1"/>
    <col min="246" max="249" width="13.7109375" style="48" customWidth="1"/>
    <col min="250" max="253" width="15.7109375" style="48" customWidth="1"/>
    <col min="254" max="254" width="22.85546875" style="48" customWidth="1"/>
    <col min="255" max="255" width="20.7109375" style="48" customWidth="1"/>
    <col min="256" max="16384" width="17.7109375" style="48"/>
  </cols>
  <sheetData>
    <row r="1" spans="1:27" ht="25.5" customHeight="1" x14ac:dyDescent="0.25">
      <c r="AA1" s="28" t="s">
        <v>57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56</v>
      </c>
    </row>
    <row r="4" spans="1:27" s="2" customFormat="1" x14ac:dyDescent="0.2">
      <c r="E4" s="30"/>
    </row>
    <row r="5" spans="1:27" s="2" customFormat="1" x14ac:dyDescent="0.2">
      <c r="A5" s="188" t="str">
        <f>'1. паспорт местоположение'!$A$5</f>
        <v>Год раскрытия информации: 2024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30"/>
    </row>
    <row r="7" spans="1:27" s="2" customFormat="1" ht="18.75" x14ac:dyDescent="0.2">
      <c r="A7" s="192" t="s">
        <v>5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</row>
    <row r="8" spans="1:27" s="2" customFormat="1" ht="18.75" x14ac:dyDescent="0.2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</row>
    <row r="9" spans="1:27" s="2" customFormat="1" ht="18.75" customHeight="1" x14ac:dyDescent="0.2">
      <c r="A9" s="193" t="s">
        <v>308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</row>
    <row r="10" spans="1:27" s="2" customFormat="1" ht="18.75" customHeight="1" x14ac:dyDescent="0.2">
      <c r="A10" s="194" t="s">
        <v>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</row>
    <row r="11" spans="1:27" s="2" customFormat="1" ht="18.75" x14ac:dyDescent="0.2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7" s="2" customFormat="1" ht="18.75" customHeight="1" x14ac:dyDescent="0.2">
      <c r="A12" s="193" t="str">
        <f>'1. паспорт местоположение'!A12:C12</f>
        <v>O_Che475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</row>
    <row r="13" spans="1:27" s="2" customFormat="1" ht="18.75" customHeight="1" x14ac:dyDescent="0.2">
      <c r="A13" s="194" t="s">
        <v>3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</row>
    <row r="14" spans="1:27" s="44" customFormat="1" ht="15.75" customHeight="1" x14ac:dyDescent="0.2">
      <c r="A14" s="203"/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</row>
    <row r="15" spans="1:27" s="45" customFormat="1" x14ac:dyDescent="0.2">
      <c r="A15" s="195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</row>
    <row r="16" spans="1:27" s="45" customFormat="1" ht="15" customHeight="1" x14ac:dyDescent="0.2">
      <c r="A16" s="194" t="s">
        <v>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</row>
    <row r="17" spans="1:27" s="45" customFormat="1" ht="15" customHeight="1" x14ac:dyDescent="0.2"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1:27" s="45" customFormat="1" ht="15" customHeight="1" x14ac:dyDescent="0.2"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</row>
    <row r="19" spans="1:27" ht="25.5" customHeight="1" x14ac:dyDescent="0.25">
      <c r="A19" s="204" t="s">
        <v>358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</row>
    <row r="20" spans="1:27" s="47" customFormat="1" ht="21" customHeight="1" x14ac:dyDescent="0.25"/>
    <row r="21" spans="1:27" ht="15.75" customHeight="1" x14ac:dyDescent="0.25">
      <c r="A21" s="210" t="s">
        <v>1</v>
      </c>
      <c r="B21" s="206" t="s">
        <v>359</v>
      </c>
      <c r="C21" s="207"/>
      <c r="D21" s="206" t="s">
        <v>360</v>
      </c>
      <c r="E21" s="207"/>
      <c r="F21" s="213" t="s">
        <v>318</v>
      </c>
      <c r="G21" s="215"/>
      <c r="H21" s="215"/>
      <c r="I21" s="214"/>
      <c r="J21" s="210" t="s">
        <v>361</v>
      </c>
      <c r="K21" s="206" t="s">
        <v>362</v>
      </c>
      <c r="L21" s="207"/>
      <c r="M21" s="206" t="s">
        <v>363</v>
      </c>
      <c r="N21" s="207"/>
      <c r="O21" s="206" t="s">
        <v>364</v>
      </c>
      <c r="P21" s="207"/>
      <c r="Q21" s="206" t="s">
        <v>365</v>
      </c>
      <c r="R21" s="207"/>
      <c r="S21" s="210" t="s">
        <v>366</v>
      </c>
      <c r="T21" s="210" t="s">
        <v>367</v>
      </c>
      <c r="U21" s="210" t="s">
        <v>368</v>
      </c>
      <c r="V21" s="206" t="s">
        <v>369</v>
      </c>
      <c r="W21" s="207"/>
      <c r="X21" s="213" t="s">
        <v>337</v>
      </c>
      <c r="Y21" s="215"/>
      <c r="Z21" s="213" t="s">
        <v>338</v>
      </c>
      <c r="AA21" s="215"/>
    </row>
    <row r="22" spans="1:27" ht="216" customHeight="1" x14ac:dyDescent="0.25">
      <c r="A22" s="212"/>
      <c r="B22" s="208"/>
      <c r="C22" s="209"/>
      <c r="D22" s="208"/>
      <c r="E22" s="209"/>
      <c r="F22" s="213" t="s">
        <v>370</v>
      </c>
      <c r="G22" s="214"/>
      <c r="H22" s="213" t="s">
        <v>371</v>
      </c>
      <c r="I22" s="214"/>
      <c r="J22" s="211"/>
      <c r="K22" s="208"/>
      <c r="L22" s="209"/>
      <c r="M22" s="208"/>
      <c r="N22" s="209"/>
      <c r="O22" s="208"/>
      <c r="P22" s="209"/>
      <c r="Q22" s="208"/>
      <c r="R22" s="209"/>
      <c r="S22" s="211"/>
      <c r="T22" s="211"/>
      <c r="U22" s="211"/>
      <c r="V22" s="208"/>
      <c r="W22" s="209"/>
      <c r="X22" s="49" t="s">
        <v>339</v>
      </c>
      <c r="Y22" s="49" t="s">
        <v>340</v>
      </c>
      <c r="Z22" s="49" t="s">
        <v>341</v>
      </c>
      <c r="AA22" s="49" t="s">
        <v>342</v>
      </c>
    </row>
    <row r="23" spans="1:27" ht="60" customHeight="1" x14ac:dyDescent="0.25">
      <c r="A23" s="211"/>
      <c r="B23" s="69" t="s">
        <v>343</v>
      </c>
      <c r="C23" s="151" t="s">
        <v>344</v>
      </c>
      <c r="D23" s="69" t="s">
        <v>343</v>
      </c>
      <c r="E23" s="69" t="s">
        <v>344</v>
      </c>
      <c r="F23" s="69" t="s">
        <v>343</v>
      </c>
      <c r="G23" s="69" t="s">
        <v>344</v>
      </c>
      <c r="H23" s="69" t="s">
        <v>343</v>
      </c>
      <c r="I23" s="69" t="s">
        <v>344</v>
      </c>
      <c r="J23" s="69" t="s">
        <v>343</v>
      </c>
      <c r="K23" s="69" t="s">
        <v>343</v>
      </c>
      <c r="L23" s="69" t="s">
        <v>344</v>
      </c>
      <c r="M23" s="69" t="s">
        <v>343</v>
      </c>
      <c r="N23" s="69" t="s">
        <v>344</v>
      </c>
      <c r="O23" s="69" t="s">
        <v>343</v>
      </c>
      <c r="P23" s="69" t="s">
        <v>344</v>
      </c>
      <c r="Q23" s="69" t="s">
        <v>343</v>
      </c>
      <c r="R23" s="69" t="s">
        <v>344</v>
      </c>
      <c r="S23" s="69" t="s">
        <v>343</v>
      </c>
      <c r="T23" s="69" t="s">
        <v>343</v>
      </c>
      <c r="U23" s="69" t="s">
        <v>343</v>
      </c>
      <c r="V23" s="69" t="s">
        <v>343</v>
      </c>
      <c r="W23" s="69" t="s">
        <v>344</v>
      </c>
      <c r="X23" s="69" t="s">
        <v>343</v>
      </c>
      <c r="Y23" s="69" t="s">
        <v>343</v>
      </c>
      <c r="Z23" s="49" t="s">
        <v>343</v>
      </c>
      <c r="AA23" s="49" t="s">
        <v>343</v>
      </c>
    </row>
    <row r="24" spans="1:27" x14ac:dyDescent="0.25">
      <c r="A24" s="115">
        <v>1</v>
      </c>
      <c r="B24" s="115">
        <v>2</v>
      </c>
      <c r="C24" s="115">
        <v>3</v>
      </c>
      <c r="D24" s="115">
        <v>4</v>
      </c>
      <c r="E24" s="115">
        <v>5</v>
      </c>
      <c r="F24" s="115">
        <v>6</v>
      </c>
      <c r="G24" s="115">
        <v>7</v>
      </c>
      <c r="H24" s="115">
        <v>8</v>
      </c>
      <c r="I24" s="115">
        <v>9</v>
      </c>
      <c r="J24" s="115">
        <v>10</v>
      </c>
      <c r="K24" s="115">
        <v>11</v>
      </c>
      <c r="L24" s="115">
        <v>12</v>
      </c>
      <c r="M24" s="115">
        <v>13</v>
      </c>
      <c r="N24" s="115">
        <v>14</v>
      </c>
      <c r="O24" s="115">
        <v>15</v>
      </c>
      <c r="P24" s="115">
        <v>16</v>
      </c>
      <c r="Q24" s="115">
        <v>19</v>
      </c>
      <c r="R24" s="115">
        <v>20</v>
      </c>
      <c r="S24" s="115">
        <v>21</v>
      </c>
      <c r="T24" s="115">
        <v>22</v>
      </c>
      <c r="U24" s="115">
        <v>23</v>
      </c>
      <c r="V24" s="115">
        <v>24</v>
      </c>
      <c r="W24" s="115">
        <v>25</v>
      </c>
      <c r="X24" s="115">
        <v>26</v>
      </c>
      <c r="Y24" s="115">
        <v>27</v>
      </c>
      <c r="Z24" s="115">
        <v>28</v>
      </c>
      <c r="AA24" s="115">
        <v>29</v>
      </c>
    </row>
    <row r="25" spans="1:27" s="163" customFormat="1" ht="63" customHeight="1" x14ac:dyDescent="0.25">
      <c r="A25" s="169" t="s">
        <v>300</v>
      </c>
      <c r="B25" s="169" t="s">
        <v>300</v>
      </c>
      <c r="C25" s="169" t="s">
        <v>300</v>
      </c>
      <c r="D25" s="169" t="s">
        <v>300</v>
      </c>
      <c r="E25" s="169" t="s">
        <v>300</v>
      </c>
      <c r="F25" s="169" t="s">
        <v>300</v>
      </c>
      <c r="G25" s="169" t="s">
        <v>300</v>
      </c>
      <c r="H25" s="169" t="s">
        <v>300</v>
      </c>
      <c r="I25" s="169" t="s">
        <v>300</v>
      </c>
      <c r="J25" s="169" t="s">
        <v>300</v>
      </c>
      <c r="K25" s="169" t="s">
        <v>300</v>
      </c>
      <c r="L25" s="169" t="s">
        <v>300</v>
      </c>
      <c r="M25" s="169" t="s">
        <v>300</v>
      </c>
      <c r="N25" s="169" t="s">
        <v>300</v>
      </c>
      <c r="O25" s="169" t="s">
        <v>300</v>
      </c>
      <c r="P25" s="169" t="s">
        <v>300</v>
      </c>
      <c r="Q25" s="169" t="s">
        <v>300</v>
      </c>
      <c r="R25" s="169" t="s">
        <v>300</v>
      </c>
      <c r="S25" s="169" t="s">
        <v>300</v>
      </c>
      <c r="T25" s="169" t="s">
        <v>300</v>
      </c>
      <c r="U25" s="169" t="s">
        <v>300</v>
      </c>
      <c r="V25" s="169" t="s">
        <v>300</v>
      </c>
      <c r="W25" s="169" t="s">
        <v>300</v>
      </c>
      <c r="X25" s="169" t="s">
        <v>300</v>
      </c>
      <c r="Y25" s="169" t="s">
        <v>300</v>
      </c>
      <c r="Z25" s="169" t="s">
        <v>300</v>
      </c>
      <c r="AA25" s="169" t="s">
        <v>300</v>
      </c>
    </row>
    <row r="26" spans="1:27" ht="21.75" customHeight="1" x14ac:dyDescent="0.25"/>
    <row r="27" spans="1:27" s="117" customFormat="1" ht="12.75" x14ac:dyDescent="0.2">
      <c r="A27" s="116"/>
      <c r="B27" s="116"/>
      <c r="C27" s="116"/>
      <c r="E27" s="116"/>
      <c r="X27" s="118"/>
      <c r="Y27" s="118"/>
      <c r="Z27" s="118"/>
      <c r="AA27" s="118"/>
    </row>
    <row r="28" spans="1:27" s="117" customFormat="1" ht="12.75" x14ac:dyDescent="0.2">
      <c r="A28" s="116"/>
      <c r="B28" s="116"/>
      <c r="C28" s="116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49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5" zoomScale="60" zoomScaleNormal="100" workbookViewId="0">
      <selection activeCell="C34" sqref="C34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7"/>
      <c r="C1" s="28" t="s">
        <v>57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56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188" t="str">
        <f>'1. паспорт местоположение'!A5:C5</f>
        <v>Год раскрытия информации: 2024 год</v>
      </c>
      <c r="B5" s="188"/>
      <c r="C5" s="188"/>
    </row>
    <row r="6" spans="1:3" s="2" customFormat="1" ht="7.5" customHeight="1" x14ac:dyDescent="0.2">
      <c r="A6" s="30"/>
    </row>
    <row r="7" spans="1:3" s="2" customFormat="1" ht="18.75" x14ac:dyDescent="0.2">
      <c r="A7" s="192" t="s">
        <v>5</v>
      </c>
      <c r="B7" s="192"/>
      <c r="C7" s="192"/>
    </row>
    <row r="8" spans="1:3" s="2" customFormat="1" ht="9.75" customHeight="1" x14ac:dyDescent="0.2">
      <c r="A8" s="192"/>
      <c r="B8" s="192"/>
      <c r="C8" s="192"/>
    </row>
    <row r="9" spans="1:3" s="2" customFormat="1" ht="15.75" x14ac:dyDescent="0.2">
      <c r="A9" s="193" t="str">
        <f>'1. паспорт местоположение'!A9:C9</f>
        <v>АО "Чеченэнерго"</v>
      </c>
      <c r="B9" s="193"/>
      <c r="C9" s="193"/>
    </row>
    <row r="10" spans="1:3" s="2" customFormat="1" ht="15.75" x14ac:dyDescent="0.2">
      <c r="A10" s="194" t="s">
        <v>4</v>
      </c>
      <c r="B10" s="194"/>
      <c r="C10" s="194"/>
    </row>
    <row r="11" spans="1:3" s="2" customFormat="1" ht="10.5" customHeight="1" x14ac:dyDescent="0.2">
      <c r="A11" s="221"/>
      <c r="B11" s="221"/>
      <c r="C11" s="221"/>
    </row>
    <row r="12" spans="1:3" s="2" customFormat="1" ht="15.75" x14ac:dyDescent="0.2">
      <c r="A12" s="193" t="str">
        <f>'1. паспорт местоположение'!A12:C12</f>
        <v>O_Che475</v>
      </c>
      <c r="B12" s="193"/>
      <c r="C12" s="193"/>
    </row>
    <row r="13" spans="1:3" s="2" customFormat="1" ht="15.75" x14ac:dyDescent="0.2">
      <c r="A13" s="194" t="s">
        <v>3</v>
      </c>
      <c r="B13" s="194"/>
      <c r="C13" s="194"/>
    </row>
    <row r="14" spans="1:3" s="44" customFormat="1" ht="15.75" customHeight="1" x14ac:dyDescent="0.2">
      <c r="A14" s="222"/>
      <c r="B14" s="222"/>
      <c r="C14" s="222"/>
    </row>
    <row r="15" spans="1:3" s="45" customFormat="1" ht="44.25" customHeight="1" x14ac:dyDescent="0.2">
      <c r="A15" s="195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195"/>
      <c r="C15" s="195"/>
    </row>
    <row r="16" spans="1:3" s="45" customFormat="1" ht="15" customHeight="1" x14ac:dyDescent="0.2">
      <c r="A16" s="194" t="s">
        <v>2</v>
      </c>
      <c r="B16" s="194"/>
      <c r="C16" s="194"/>
    </row>
    <row r="17" spans="1:3" s="45" customFormat="1" ht="9" customHeight="1" x14ac:dyDescent="0.2">
      <c r="A17" s="196"/>
      <c r="B17" s="196"/>
      <c r="C17" s="196"/>
    </row>
    <row r="18" spans="1:3" s="45" customFormat="1" ht="27.75" customHeight="1" x14ac:dyDescent="0.2">
      <c r="A18" s="220" t="s">
        <v>271</v>
      </c>
      <c r="B18" s="220"/>
      <c r="C18" s="220"/>
    </row>
    <row r="19" spans="1:3" s="45" customFormat="1" ht="9" customHeight="1" x14ac:dyDescent="0.2">
      <c r="A19" s="73"/>
      <c r="B19" s="73"/>
      <c r="C19" s="73"/>
    </row>
    <row r="20" spans="1:3" s="45" customFormat="1" ht="24.75" customHeight="1" x14ac:dyDescent="0.2">
      <c r="A20" s="113" t="s">
        <v>1</v>
      </c>
      <c r="B20" s="105" t="s">
        <v>55</v>
      </c>
      <c r="C20" s="104" t="s">
        <v>54</v>
      </c>
    </row>
    <row r="21" spans="1:3" s="45" customFormat="1" ht="16.5" customHeight="1" x14ac:dyDescent="0.2">
      <c r="A21" s="104">
        <v>1</v>
      </c>
      <c r="B21" s="105">
        <v>2</v>
      </c>
      <c r="C21" s="104">
        <v>3</v>
      </c>
    </row>
    <row r="22" spans="1:3" s="45" customFormat="1" ht="60" customHeight="1" x14ac:dyDescent="0.2">
      <c r="A22" s="3" t="s">
        <v>53</v>
      </c>
      <c r="B22" s="5" t="s">
        <v>275</v>
      </c>
      <c r="C22" s="4" t="s">
        <v>495</v>
      </c>
    </row>
    <row r="23" spans="1:3" ht="63" customHeight="1" x14ac:dyDescent="0.25">
      <c r="A23" s="3" t="s">
        <v>52</v>
      </c>
      <c r="B23" s="114" t="s">
        <v>49</v>
      </c>
      <c r="C23" s="4" t="s">
        <v>496</v>
      </c>
    </row>
    <row r="24" spans="1:3" ht="31.5" x14ac:dyDescent="0.25">
      <c r="A24" s="3" t="s">
        <v>51</v>
      </c>
      <c r="B24" s="114" t="s">
        <v>281</v>
      </c>
      <c r="C24" s="113" t="s">
        <v>470</v>
      </c>
    </row>
    <row r="25" spans="1:3" ht="38.25" customHeight="1" x14ac:dyDescent="0.25">
      <c r="A25" s="3" t="s">
        <v>50</v>
      </c>
      <c r="B25" s="114" t="s">
        <v>282</v>
      </c>
      <c r="C25" s="4" t="s">
        <v>497</v>
      </c>
    </row>
    <row r="26" spans="1:3" ht="33" customHeight="1" x14ac:dyDescent="0.25">
      <c r="A26" s="3" t="s">
        <v>48</v>
      </c>
      <c r="B26" s="114" t="s">
        <v>166</v>
      </c>
      <c r="C26" s="113" t="s">
        <v>450</v>
      </c>
    </row>
    <row r="27" spans="1:3" ht="15.75" x14ac:dyDescent="0.25">
      <c r="A27" s="3" t="s">
        <v>47</v>
      </c>
      <c r="B27" s="114" t="s">
        <v>276</v>
      </c>
      <c r="C27" s="113" t="s">
        <v>471</v>
      </c>
    </row>
    <row r="28" spans="1:3" ht="27.75" customHeight="1" x14ac:dyDescent="0.25">
      <c r="A28" s="3" t="s">
        <v>45</v>
      </c>
      <c r="B28" s="114" t="s">
        <v>46</v>
      </c>
      <c r="C28" s="65">
        <v>2024</v>
      </c>
    </row>
    <row r="29" spans="1:3" ht="22.5" customHeight="1" x14ac:dyDescent="0.25">
      <c r="A29" s="3" t="s">
        <v>43</v>
      </c>
      <c r="B29" s="113" t="s">
        <v>44</v>
      </c>
      <c r="C29" s="65">
        <v>2024</v>
      </c>
    </row>
    <row r="30" spans="1:3" ht="24.75" customHeight="1" x14ac:dyDescent="0.25">
      <c r="A30" s="3" t="s">
        <v>61</v>
      </c>
      <c r="B30" s="113" t="s">
        <v>42</v>
      </c>
      <c r="C30" s="77" t="s">
        <v>498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8" t="s">
        <v>57</v>
      </c>
    </row>
    <row r="2" spans="1:28" ht="18.75" x14ac:dyDescent="0.3">
      <c r="Z2" s="29" t="s">
        <v>6</v>
      </c>
    </row>
    <row r="3" spans="1:28" ht="18.75" x14ac:dyDescent="0.3">
      <c r="Z3" s="29" t="s">
        <v>56</v>
      </c>
    </row>
    <row r="4" spans="1:28" s="2" customFormat="1" ht="15.75" x14ac:dyDescent="0.2">
      <c r="A4" s="188" t="str">
        <f>'1. паспорт местоположение'!$A$5</f>
        <v>Год раскрытия информации: 2024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</row>
    <row r="5" spans="1:28" s="2" customFormat="1" ht="15.75" x14ac:dyDescent="0.2">
      <c r="A5" s="30"/>
    </row>
    <row r="6" spans="1:28" s="2" customFormat="1" ht="18.75" x14ac:dyDescent="0.2">
      <c r="A6" s="192" t="s">
        <v>5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</row>
    <row r="7" spans="1:28" s="2" customFormat="1" ht="18.75" x14ac:dyDescent="0.2">
      <c r="A7" s="192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</row>
    <row r="8" spans="1:28" s="2" customFormat="1" ht="18.75" customHeight="1" x14ac:dyDescent="0.2">
      <c r="A8" s="193" t="s">
        <v>308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</row>
    <row r="9" spans="1:28" s="2" customFormat="1" ht="18.75" customHeight="1" x14ac:dyDescent="0.2">
      <c r="A9" s="194" t="s">
        <v>4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</row>
    <row r="10" spans="1:28" s="2" customFormat="1" ht="18.75" x14ac:dyDescent="0.2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</row>
    <row r="11" spans="1:28" s="2" customFormat="1" ht="18.75" customHeight="1" x14ac:dyDescent="0.2">
      <c r="A11" s="193" t="str">
        <f>'1. паспорт местоположение'!A12:C12</f>
        <v>O_Che475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</row>
    <row r="12" spans="1:28" s="2" customFormat="1" ht="18.75" customHeight="1" x14ac:dyDescent="0.2">
      <c r="A12" s="194" t="s">
        <v>3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</row>
    <row r="13" spans="1:28" s="44" customFormat="1" ht="15.75" customHeight="1" x14ac:dyDescent="0.2">
      <c r="A13" s="203"/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</row>
    <row r="14" spans="1:28" s="45" customFormat="1" ht="37.5" customHeight="1" x14ac:dyDescent="0.2">
      <c r="A14" s="195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</row>
    <row r="15" spans="1:28" s="45" customFormat="1" ht="15" customHeight="1" x14ac:dyDescent="0.2">
      <c r="A15" s="194" t="s">
        <v>2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</row>
    <row r="16" spans="1:28" x14ac:dyDescent="0.25">
      <c r="A16" s="223"/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51"/>
      <c r="AB16" s="51"/>
    </row>
    <row r="17" spans="1:28" x14ac:dyDescent="0.25">
      <c r="A17" s="223"/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51"/>
      <c r="AB17" s="51"/>
    </row>
    <row r="18" spans="1:28" x14ac:dyDescent="0.25">
      <c r="A18" s="223"/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51"/>
      <c r="AB18" s="51"/>
    </row>
    <row r="19" spans="1:28" x14ac:dyDescent="0.25">
      <c r="A19" s="223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23"/>
      <c r="Z19" s="223"/>
      <c r="AA19" s="51"/>
      <c r="AB19" s="51"/>
    </row>
    <row r="20" spans="1:28" x14ac:dyDescent="0.25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23"/>
      <c r="AA20" s="51"/>
      <c r="AB20" s="51"/>
    </row>
    <row r="21" spans="1:28" x14ac:dyDescent="0.25">
      <c r="A21" s="223"/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23"/>
      <c r="Z21" s="223"/>
      <c r="AA21" s="51"/>
      <c r="AB21" s="51"/>
    </row>
    <row r="22" spans="1:28" x14ac:dyDescent="0.25">
      <c r="A22" s="228" t="s">
        <v>372</v>
      </c>
      <c r="B22" s="22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28"/>
      <c r="Y22" s="228"/>
      <c r="Z22" s="228"/>
      <c r="AA22" s="53"/>
      <c r="AB22" s="53"/>
    </row>
    <row r="23" spans="1:28" ht="32.25" customHeight="1" x14ac:dyDescent="0.25">
      <c r="A23" s="224" t="s">
        <v>373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6"/>
      <c r="M23" s="227" t="s">
        <v>374</v>
      </c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</row>
    <row r="24" spans="1:28" ht="151.5" customHeight="1" x14ac:dyDescent="0.25">
      <c r="A24" s="106" t="s">
        <v>375</v>
      </c>
      <c r="B24" s="107" t="s">
        <v>376</v>
      </c>
      <c r="C24" s="106" t="s">
        <v>377</v>
      </c>
      <c r="D24" s="106" t="s">
        <v>378</v>
      </c>
      <c r="E24" s="106" t="s">
        <v>379</v>
      </c>
      <c r="F24" s="106" t="s">
        <v>399</v>
      </c>
      <c r="G24" s="106" t="s">
        <v>400</v>
      </c>
      <c r="H24" s="106" t="s">
        <v>380</v>
      </c>
      <c r="I24" s="106" t="s">
        <v>401</v>
      </c>
      <c r="J24" s="106" t="s">
        <v>381</v>
      </c>
      <c r="K24" s="107" t="s">
        <v>382</v>
      </c>
      <c r="L24" s="107" t="s">
        <v>383</v>
      </c>
      <c r="M24" s="108" t="s">
        <v>384</v>
      </c>
      <c r="N24" s="107" t="s">
        <v>402</v>
      </c>
      <c r="O24" s="106" t="s">
        <v>403</v>
      </c>
      <c r="P24" s="106" t="s">
        <v>404</v>
      </c>
      <c r="Q24" s="106" t="s">
        <v>405</v>
      </c>
      <c r="R24" s="106" t="s">
        <v>380</v>
      </c>
      <c r="S24" s="106" t="s">
        <v>406</v>
      </c>
      <c r="T24" s="106" t="s">
        <v>407</v>
      </c>
      <c r="U24" s="106" t="s">
        <v>408</v>
      </c>
      <c r="V24" s="106" t="s">
        <v>405</v>
      </c>
      <c r="W24" s="109" t="s">
        <v>409</v>
      </c>
      <c r="X24" s="109" t="s">
        <v>410</v>
      </c>
      <c r="Y24" s="109" t="s">
        <v>411</v>
      </c>
      <c r="Z24" s="54" t="s">
        <v>385</v>
      </c>
    </row>
    <row r="25" spans="1:28" ht="16.5" customHeight="1" x14ac:dyDescent="0.25">
      <c r="A25" s="106">
        <v>1</v>
      </c>
      <c r="B25" s="107">
        <v>2</v>
      </c>
      <c r="C25" s="106">
        <v>3</v>
      </c>
      <c r="D25" s="107">
        <v>4</v>
      </c>
      <c r="E25" s="106">
        <v>5</v>
      </c>
      <c r="F25" s="107">
        <v>6</v>
      </c>
      <c r="G25" s="106">
        <v>7</v>
      </c>
      <c r="H25" s="107">
        <v>8</v>
      </c>
      <c r="I25" s="106">
        <v>9</v>
      </c>
      <c r="J25" s="107">
        <v>10</v>
      </c>
      <c r="K25" s="106">
        <v>11</v>
      </c>
      <c r="L25" s="107">
        <v>12</v>
      </c>
      <c r="M25" s="106">
        <v>13</v>
      </c>
      <c r="N25" s="107">
        <v>14</v>
      </c>
      <c r="O25" s="106">
        <v>15</v>
      </c>
      <c r="P25" s="107">
        <v>16</v>
      </c>
      <c r="Q25" s="106">
        <v>17</v>
      </c>
      <c r="R25" s="107">
        <v>18</v>
      </c>
      <c r="S25" s="106">
        <v>19</v>
      </c>
      <c r="T25" s="107">
        <v>20</v>
      </c>
      <c r="U25" s="106">
        <v>21</v>
      </c>
      <c r="V25" s="107">
        <v>22</v>
      </c>
      <c r="W25" s="106">
        <v>23</v>
      </c>
      <c r="X25" s="107">
        <v>24</v>
      </c>
      <c r="Y25" s="106">
        <v>25</v>
      </c>
      <c r="Z25" s="107">
        <v>26</v>
      </c>
    </row>
    <row r="26" spans="1:28" ht="45.75" customHeight="1" x14ac:dyDescent="0.25">
      <c r="A26" s="18" t="s">
        <v>386</v>
      </c>
      <c r="B26" s="18"/>
      <c r="C26" s="55" t="s">
        <v>412</v>
      </c>
      <c r="D26" s="55" t="s">
        <v>413</v>
      </c>
      <c r="E26" s="55" t="s">
        <v>414</v>
      </c>
      <c r="F26" s="55" t="s">
        <v>415</v>
      </c>
      <c r="G26" s="55" t="s">
        <v>416</v>
      </c>
      <c r="H26" s="55" t="s">
        <v>380</v>
      </c>
      <c r="I26" s="55" t="s">
        <v>417</v>
      </c>
      <c r="J26" s="55" t="s">
        <v>418</v>
      </c>
      <c r="K26" s="110"/>
      <c r="L26" s="55" t="s">
        <v>387</v>
      </c>
      <c r="M26" s="56" t="s">
        <v>298</v>
      </c>
      <c r="N26" s="110" t="s">
        <v>300</v>
      </c>
      <c r="O26" s="110" t="s">
        <v>300</v>
      </c>
      <c r="P26" s="110" t="s">
        <v>300</v>
      </c>
      <c r="Q26" s="110" t="s">
        <v>300</v>
      </c>
      <c r="R26" s="110" t="s">
        <v>300</v>
      </c>
      <c r="S26" s="110" t="s">
        <v>300</v>
      </c>
      <c r="T26" s="110" t="s">
        <v>300</v>
      </c>
      <c r="U26" s="110" t="s">
        <v>300</v>
      </c>
      <c r="V26" s="110" t="s">
        <v>300</v>
      </c>
      <c r="W26" s="110" t="s">
        <v>300</v>
      </c>
      <c r="X26" s="110" t="s">
        <v>300</v>
      </c>
      <c r="Y26" s="110" t="s">
        <v>300</v>
      </c>
      <c r="Z26" s="111" t="s">
        <v>388</v>
      </c>
    </row>
    <row r="27" spans="1:28" x14ac:dyDescent="0.25">
      <c r="A27" s="110" t="s">
        <v>389</v>
      </c>
      <c r="B27" s="110" t="s">
        <v>390</v>
      </c>
      <c r="C27" s="110" t="s">
        <v>300</v>
      </c>
      <c r="D27" s="110" t="s">
        <v>300</v>
      </c>
      <c r="E27" s="110" t="s">
        <v>300</v>
      </c>
      <c r="F27" s="110" t="s">
        <v>300</v>
      </c>
      <c r="G27" s="110" t="s">
        <v>300</v>
      </c>
      <c r="H27" s="110" t="s">
        <v>300</v>
      </c>
      <c r="I27" s="110" t="s">
        <v>300</v>
      </c>
      <c r="J27" s="110" t="s">
        <v>300</v>
      </c>
      <c r="K27" s="55" t="s">
        <v>391</v>
      </c>
      <c r="L27" s="110" t="s">
        <v>300</v>
      </c>
      <c r="M27" s="55" t="s">
        <v>299</v>
      </c>
      <c r="N27" s="110" t="s">
        <v>300</v>
      </c>
      <c r="O27" s="110" t="s">
        <v>300</v>
      </c>
      <c r="P27" s="110" t="s">
        <v>300</v>
      </c>
      <c r="Q27" s="110" t="s">
        <v>300</v>
      </c>
      <c r="R27" s="110" t="s">
        <v>300</v>
      </c>
      <c r="S27" s="110" t="s">
        <v>300</v>
      </c>
      <c r="T27" s="110" t="s">
        <v>300</v>
      </c>
      <c r="U27" s="110" t="s">
        <v>300</v>
      </c>
      <c r="V27" s="110" t="s">
        <v>300</v>
      </c>
      <c r="W27" s="110" t="s">
        <v>300</v>
      </c>
      <c r="X27" s="110" t="s">
        <v>300</v>
      </c>
      <c r="Y27" s="110" t="s">
        <v>300</v>
      </c>
      <c r="Z27" s="110" t="s">
        <v>300</v>
      </c>
    </row>
    <row r="28" spans="1:28" x14ac:dyDescent="0.25">
      <c r="A28" s="110" t="s">
        <v>389</v>
      </c>
      <c r="B28" s="110" t="s">
        <v>392</v>
      </c>
      <c r="C28" s="110" t="s">
        <v>300</v>
      </c>
      <c r="D28" s="110" t="s">
        <v>300</v>
      </c>
      <c r="E28" s="110" t="s">
        <v>300</v>
      </c>
      <c r="F28" s="110" t="s">
        <v>300</v>
      </c>
      <c r="G28" s="110" t="s">
        <v>300</v>
      </c>
      <c r="H28" s="110" t="s">
        <v>300</v>
      </c>
      <c r="I28" s="110" t="s">
        <v>300</v>
      </c>
      <c r="J28" s="110" t="s">
        <v>300</v>
      </c>
      <c r="K28" s="55" t="s">
        <v>393</v>
      </c>
      <c r="L28" s="110" t="s">
        <v>300</v>
      </c>
      <c r="M28" s="55" t="s">
        <v>394</v>
      </c>
      <c r="N28" s="110" t="s">
        <v>300</v>
      </c>
      <c r="O28" s="110" t="s">
        <v>300</v>
      </c>
      <c r="P28" s="110" t="s">
        <v>300</v>
      </c>
      <c r="Q28" s="110" t="s">
        <v>300</v>
      </c>
      <c r="R28" s="110" t="s">
        <v>300</v>
      </c>
      <c r="S28" s="110" t="s">
        <v>300</v>
      </c>
      <c r="T28" s="110" t="s">
        <v>300</v>
      </c>
      <c r="U28" s="110" t="s">
        <v>300</v>
      </c>
      <c r="V28" s="110" t="s">
        <v>300</v>
      </c>
      <c r="W28" s="110" t="s">
        <v>300</v>
      </c>
      <c r="X28" s="110" t="s">
        <v>300</v>
      </c>
      <c r="Y28" s="110" t="s">
        <v>300</v>
      </c>
      <c r="Z28" s="110" t="s">
        <v>300</v>
      </c>
    </row>
    <row r="29" spans="1:28" x14ac:dyDescent="0.25">
      <c r="A29" s="110" t="s">
        <v>389</v>
      </c>
      <c r="B29" s="110" t="s">
        <v>395</v>
      </c>
      <c r="C29" s="110" t="s">
        <v>300</v>
      </c>
      <c r="D29" s="110" t="s">
        <v>300</v>
      </c>
      <c r="E29" s="110" t="s">
        <v>300</v>
      </c>
      <c r="F29" s="110" t="s">
        <v>300</v>
      </c>
      <c r="G29" s="110" t="s">
        <v>300</v>
      </c>
      <c r="H29" s="110" t="s">
        <v>300</v>
      </c>
      <c r="I29" s="110" t="s">
        <v>300</v>
      </c>
      <c r="J29" s="110" t="s">
        <v>300</v>
      </c>
      <c r="K29" s="55" t="s">
        <v>396</v>
      </c>
      <c r="L29" s="110" t="s">
        <v>300</v>
      </c>
      <c r="M29" s="110" t="s">
        <v>300</v>
      </c>
      <c r="N29" s="110" t="s">
        <v>300</v>
      </c>
      <c r="O29" s="110" t="s">
        <v>300</v>
      </c>
      <c r="P29" s="110" t="s">
        <v>300</v>
      </c>
      <c r="Q29" s="110" t="s">
        <v>300</v>
      </c>
      <c r="R29" s="110" t="s">
        <v>300</v>
      </c>
      <c r="S29" s="110" t="s">
        <v>300</v>
      </c>
      <c r="T29" s="110" t="s">
        <v>300</v>
      </c>
      <c r="U29" s="110" t="s">
        <v>300</v>
      </c>
      <c r="V29" s="110" t="s">
        <v>300</v>
      </c>
      <c r="W29" s="110" t="s">
        <v>300</v>
      </c>
      <c r="X29" s="110" t="s">
        <v>300</v>
      </c>
      <c r="Y29" s="110" t="s">
        <v>300</v>
      </c>
      <c r="Z29" s="110" t="s">
        <v>300</v>
      </c>
    </row>
    <row r="30" spans="1:28" x14ac:dyDescent="0.25">
      <c r="A30" s="110" t="s">
        <v>389</v>
      </c>
      <c r="B30" s="110" t="s">
        <v>397</v>
      </c>
      <c r="C30" s="110" t="s">
        <v>300</v>
      </c>
      <c r="D30" s="110" t="s">
        <v>300</v>
      </c>
      <c r="E30" s="110" t="s">
        <v>300</v>
      </c>
      <c r="F30" s="110" t="s">
        <v>300</v>
      </c>
      <c r="G30" s="110" t="s">
        <v>300</v>
      </c>
      <c r="H30" s="110" t="s">
        <v>300</v>
      </c>
      <c r="I30" s="110" t="s">
        <v>300</v>
      </c>
      <c r="J30" s="110" t="s">
        <v>300</v>
      </c>
      <c r="K30" s="55" t="s">
        <v>398</v>
      </c>
      <c r="L30" s="110" t="s">
        <v>300</v>
      </c>
      <c r="M30" s="110" t="s">
        <v>300</v>
      </c>
      <c r="N30" s="110" t="s">
        <v>300</v>
      </c>
      <c r="O30" s="110" t="s">
        <v>300</v>
      </c>
      <c r="P30" s="110" t="s">
        <v>300</v>
      </c>
      <c r="Q30" s="110" t="s">
        <v>300</v>
      </c>
      <c r="R30" s="110" t="s">
        <v>300</v>
      </c>
      <c r="S30" s="110" t="s">
        <v>300</v>
      </c>
      <c r="T30" s="110" t="s">
        <v>300</v>
      </c>
      <c r="U30" s="110" t="s">
        <v>300</v>
      </c>
      <c r="V30" s="110" t="s">
        <v>300</v>
      </c>
      <c r="W30" s="110" t="s">
        <v>300</v>
      </c>
      <c r="X30" s="110" t="s">
        <v>300</v>
      </c>
      <c r="Y30" s="110" t="s">
        <v>300</v>
      </c>
      <c r="Z30" s="110" t="s">
        <v>300</v>
      </c>
    </row>
    <row r="31" spans="1:28" x14ac:dyDescent="0.25">
      <c r="A31" s="110" t="s">
        <v>394</v>
      </c>
      <c r="B31" s="110" t="s">
        <v>394</v>
      </c>
      <c r="C31" s="110" t="s">
        <v>394</v>
      </c>
      <c r="D31" s="110" t="s">
        <v>394</v>
      </c>
      <c r="E31" s="110" t="s">
        <v>394</v>
      </c>
      <c r="F31" s="110" t="s">
        <v>394</v>
      </c>
      <c r="G31" s="110" t="s">
        <v>394</v>
      </c>
      <c r="H31" s="110" t="s">
        <v>394</v>
      </c>
      <c r="I31" s="110" t="s">
        <v>394</v>
      </c>
      <c r="J31" s="110" t="s">
        <v>394</v>
      </c>
      <c r="K31" s="110" t="s">
        <v>394</v>
      </c>
      <c r="L31" s="110" t="s">
        <v>300</v>
      </c>
      <c r="M31" s="110" t="s">
        <v>300</v>
      </c>
      <c r="N31" s="110" t="s">
        <v>300</v>
      </c>
      <c r="O31" s="110" t="s">
        <v>300</v>
      </c>
      <c r="P31" s="110" t="s">
        <v>300</v>
      </c>
      <c r="Q31" s="110" t="s">
        <v>300</v>
      </c>
      <c r="R31" s="110" t="s">
        <v>300</v>
      </c>
      <c r="S31" s="110" t="s">
        <v>300</v>
      </c>
      <c r="T31" s="110" t="s">
        <v>300</v>
      </c>
      <c r="U31" s="110" t="s">
        <v>300</v>
      </c>
      <c r="V31" s="110" t="s">
        <v>300</v>
      </c>
      <c r="W31" s="110" t="s">
        <v>300</v>
      </c>
      <c r="X31" s="110" t="s">
        <v>300</v>
      </c>
      <c r="Y31" s="110" t="s">
        <v>300</v>
      </c>
      <c r="Z31" s="110" t="s">
        <v>300</v>
      </c>
    </row>
    <row r="32" spans="1:28" ht="30" x14ac:dyDescent="0.25">
      <c r="A32" s="18" t="s">
        <v>386</v>
      </c>
      <c r="B32" s="18"/>
      <c r="C32" s="55" t="s">
        <v>419</v>
      </c>
      <c r="D32" s="55" t="s">
        <v>420</v>
      </c>
      <c r="E32" s="55" t="s">
        <v>421</v>
      </c>
      <c r="F32" s="55" t="s">
        <v>422</v>
      </c>
      <c r="G32" s="55" t="s">
        <v>423</v>
      </c>
      <c r="H32" s="55" t="s">
        <v>380</v>
      </c>
      <c r="I32" s="55" t="s">
        <v>424</v>
      </c>
      <c r="J32" s="55" t="s">
        <v>425</v>
      </c>
      <c r="K32" s="110"/>
      <c r="L32" s="110" t="s">
        <v>300</v>
      </c>
      <c r="M32" s="110" t="s">
        <v>300</v>
      </c>
      <c r="N32" s="110" t="s">
        <v>300</v>
      </c>
      <c r="O32" s="110" t="s">
        <v>300</v>
      </c>
      <c r="P32" s="110" t="s">
        <v>300</v>
      </c>
      <c r="Q32" s="110" t="s">
        <v>300</v>
      </c>
      <c r="R32" s="110" t="s">
        <v>300</v>
      </c>
      <c r="S32" s="110" t="s">
        <v>300</v>
      </c>
      <c r="T32" s="110" t="s">
        <v>300</v>
      </c>
      <c r="U32" s="110" t="s">
        <v>300</v>
      </c>
      <c r="V32" s="110" t="s">
        <v>300</v>
      </c>
      <c r="W32" s="110" t="s">
        <v>300</v>
      </c>
      <c r="X32" s="110" t="s">
        <v>300</v>
      </c>
      <c r="Y32" s="110" t="s">
        <v>300</v>
      </c>
      <c r="Z32" s="110" t="s">
        <v>300</v>
      </c>
    </row>
    <row r="33" spans="1:26" x14ac:dyDescent="0.25">
      <c r="A33" s="110" t="s">
        <v>394</v>
      </c>
      <c r="B33" s="110" t="s">
        <v>394</v>
      </c>
      <c r="C33" s="110" t="s">
        <v>394</v>
      </c>
      <c r="D33" s="110" t="s">
        <v>394</v>
      </c>
      <c r="E33" s="110" t="s">
        <v>394</v>
      </c>
      <c r="F33" s="110" t="s">
        <v>394</v>
      </c>
      <c r="G33" s="110" t="s">
        <v>394</v>
      </c>
      <c r="H33" s="110" t="s">
        <v>394</v>
      </c>
      <c r="I33" s="110" t="s">
        <v>394</v>
      </c>
      <c r="J33" s="110" t="s">
        <v>394</v>
      </c>
      <c r="K33" s="110" t="s">
        <v>394</v>
      </c>
      <c r="L33" s="110" t="s">
        <v>300</v>
      </c>
      <c r="M33" s="110" t="s">
        <v>300</v>
      </c>
      <c r="N33" s="110" t="s">
        <v>300</v>
      </c>
      <c r="O33" s="110" t="s">
        <v>300</v>
      </c>
      <c r="P33" s="110" t="s">
        <v>300</v>
      </c>
      <c r="Q33" s="110" t="s">
        <v>300</v>
      </c>
      <c r="R33" s="110" t="s">
        <v>300</v>
      </c>
      <c r="S33" s="110" t="s">
        <v>300</v>
      </c>
      <c r="T33" s="110" t="s">
        <v>300</v>
      </c>
      <c r="U33" s="110" t="s">
        <v>300</v>
      </c>
      <c r="V33" s="110" t="s">
        <v>300</v>
      </c>
      <c r="W33" s="110" t="s">
        <v>300</v>
      </c>
      <c r="X33" s="110" t="s">
        <v>300</v>
      </c>
      <c r="Y33" s="110" t="s">
        <v>300</v>
      </c>
      <c r="Z33" s="110" t="s">
        <v>300</v>
      </c>
    </row>
    <row r="37" spans="1:26" x14ac:dyDescent="0.25">
      <c r="A37" s="112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57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56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188" t="str">
        <f>'1. паспорт местоположение'!$A$5</f>
        <v>Год раскрытия информации: 2024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ht="15.75" x14ac:dyDescent="0.2">
      <c r="A7" s="30"/>
    </row>
    <row r="8" spans="1:20" s="2" customFormat="1" ht="18.75" x14ac:dyDescent="0.2">
      <c r="A8" s="192" t="s">
        <v>5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</row>
    <row r="9" spans="1:20" s="2" customFormat="1" ht="18.75" x14ac:dyDescent="0.2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</row>
    <row r="10" spans="1:20" s="2" customFormat="1" ht="18.75" customHeight="1" x14ac:dyDescent="0.2">
      <c r="A10" s="193" t="s">
        <v>308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</row>
    <row r="11" spans="1:20" s="2" customFormat="1" ht="18.75" customHeight="1" x14ac:dyDescent="0.2">
      <c r="A11" s="194" t="s">
        <v>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</row>
    <row r="12" spans="1:20" s="2" customFormat="1" ht="18.75" x14ac:dyDescent="0.2">
      <c r="A12" s="192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0" s="2" customFormat="1" ht="18.75" customHeight="1" x14ac:dyDescent="0.2">
      <c r="A13" s="193" t="str">
        <f>'1. паспорт местоположение'!A12:C12</f>
        <v>O_Che475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</row>
    <row r="14" spans="1:20" s="2" customFormat="1" ht="18.75" customHeight="1" x14ac:dyDescent="0.2">
      <c r="A14" s="194" t="s">
        <v>3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</row>
    <row r="15" spans="1:20" s="44" customFormat="1" ht="15.75" customHeight="1" x14ac:dyDescent="0.2">
      <c r="A15" s="203"/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</row>
    <row r="16" spans="1:20" s="45" customFormat="1" ht="15.75" x14ac:dyDescent="0.2">
      <c r="A16" s="193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</row>
    <row r="17" spans="1:20" s="45" customFormat="1" ht="15" customHeight="1" x14ac:dyDescent="0.2">
      <c r="A17" s="194" t="s">
        <v>2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</row>
    <row r="18" spans="1:20" ht="96" customHeight="1" x14ac:dyDescent="0.25">
      <c r="A18" s="229" t="s">
        <v>426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</row>
    <row r="19" spans="1:20" ht="15.75" customHeight="1" x14ac:dyDescent="0.25">
      <c r="A19" s="197" t="s">
        <v>1</v>
      </c>
      <c r="B19" s="197" t="s">
        <v>427</v>
      </c>
      <c r="C19" s="197" t="s">
        <v>428</v>
      </c>
      <c r="D19" s="197" t="s">
        <v>429</v>
      </c>
      <c r="E19" s="230" t="s">
        <v>430</v>
      </c>
      <c r="F19" s="231"/>
      <c r="G19" s="231"/>
      <c r="H19" s="231"/>
      <c r="I19" s="232"/>
      <c r="J19" s="230" t="s">
        <v>431</v>
      </c>
      <c r="K19" s="231"/>
      <c r="L19" s="231"/>
      <c r="M19" s="231"/>
      <c r="N19" s="231"/>
      <c r="O19" s="232"/>
    </row>
    <row r="20" spans="1:20" ht="123" customHeight="1" x14ac:dyDescent="0.25">
      <c r="A20" s="197"/>
      <c r="B20" s="197"/>
      <c r="C20" s="197"/>
      <c r="D20" s="197"/>
      <c r="E20" s="101" t="s">
        <v>432</v>
      </c>
      <c r="F20" s="101" t="s">
        <v>433</v>
      </c>
      <c r="G20" s="101" t="s">
        <v>434</v>
      </c>
      <c r="H20" s="101" t="s">
        <v>435</v>
      </c>
      <c r="I20" s="101" t="s">
        <v>64</v>
      </c>
      <c r="J20" s="101" t="s">
        <v>436</v>
      </c>
      <c r="K20" s="101" t="s">
        <v>437</v>
      </c>
      <c r="L20" s="102" t="s">
        <v>438</v>
      </c>
      <c r="M20" s="103" t="s">
        <v>439</v>
      </c>
      <c r="N20" s="103" t="s">
        <v>440</v>
      </c>
      <c r="O20" s="103" t="s">
        <v>441</v>
      </c>
    </row>
    <row r="21" spans="1:20" ht="15.75" x14ac:dyDescent="0.25">
      <c r="A21" s="104">
        <v>1</v>
      </c>
      <c r="B21" s="105">
        <v>2</v>
      </c>
      <c r="C21" s="104">
        <v>3</v>
      </c>
      <c r="D21" s="105">
        <v>4</v>
      </c>
      <c r="E21" s="104">
        <v>5</v>
      </c>
      <c r="F21" s="105">
        <v>6</v>
      </c>
      <c r="G21" s="104">
        <v>7</v>
      </c>
      <c r="H21" s="105">
        <v>8</v>
      </c>
      <c r="I21" s="104">
        <v>9</v>
      </c>
      <c r="J21" s="105">
        <v>10</v>
      </c>
      <c r="K21" s="104">
        <v>11</v>
      </c>
      <c r="L21" s="105">
        <v>12</v>
      </c>
      <c r="M21" s="104">
        <v>13</v>
      </c>
      <c r="N21" s="105">
        <v>14</v>
      </c>
      <c r="O21" s="104">
        <v>15</v>
      </c>
    </row>
    <row r="22" spans="1:20" ht="15.75" x14ac:dyDescent="0.25">
      <c r="A22" s="3" t="s">
        <v>300</v>
      </c>
      <c r="B22" s="3" t="s">
        <v>300</v>
      </c>
      <c r="C22" s="3" t="s">
        <v>300</v>
      </c>
      <c r="D22" s="3" t="s">
        <v>300</v>
      </c>
      <c r="E22" s="3" t="s">
        <v>300</v>
      </c>
      <c r="F22" s="3" t="s">
        <v>300</v>
      </c>
      <c r="G22" s="3" t="s">
        <v>300</v>
      </c>
      <c r="H22" s="3" t="s">
        <v>300</v>
      </c>
      <c r="I22" s="3" t="s">
        <v>300</v>
      </c>
      <c r="J22" s="3" t="s">
        <v>300</v>
      </c>
      <c r="K22" s="3" t="s">
        <v>300</v>
      </c>
      <c r="L22" s="3" t="s">
        <v>300</v>
      </c>
      <c r="M22" s="3" t="s">
        <v>300</v>
      </c>
      <c r="N22" s="3" t="s">
        <v>300</v>
      </c>
      <c r="O22" s="3" t="s">
        <v>300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D29" sqref="D29:D30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7"/>
      <c r="B1" s="2"/>
      <c r="C1" s="2"/>
      <c r="D1" s="2"/>
      <c r="E1" s="2"/>
      <c r="F1" s="28" t="s">
        <v>57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56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188" t="str">
        <f>'1. паспорт местоположение'!$A$5</f>
        <v>Год раскрытия информации: 2024 год</v>
      </c>
      <c r="B5" s="188"/>
      <c r="C5" s="188"/>
      <c r="D5" s="188"/>
      <c r="E5" s="188"/>
      <c r="F5" s="188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192" t="s">
        <v>5</v>
      </c>
      <c r="B7" s="192"/>
      <c r="C7" s="192"/>
      <c r="D7" s="192"/>
      <c r="E7" s="192"/>
      <c r="F7" s="192"/>
    </row>
    <row r="8" spans="1:6" ht="18.75" x14ac:dyDescent="0.25">
      <c r="A8" s="67"/>
      <c r="B8" s="67"/>
      <c r="C8" s="67"/>
      <c r="D8" s="67"/>
      <c r="E8" s="67"/>
      <c r="F8" s="67"/>
    </row>
    <row r="9" spans="1:6" ht="15.75" x14ac:dyDescent="0.25">
      <c r="A9" s="193" t="s">
        <v>287</v>
      </c>
      <c r="B9" s="193"/>
      <c r="C9" s="193"/>
      <c r="D9" s="193"/>
      <c r="E9" s="193"/>
      <c r="F9" s="193"/>
    </row>
    <row r="10" spans="1:6" ht="15.75" x14ac:dyDescent="0.25">
      <c r="A10" s="194" t="s">
        <v>4</v>
      </c>
      <c r="B10" s="194"/>
      <c r="C10" s="194"/>
      <c r="D10" s="194"/>
      <c r="E10" s="194"/>
      <c r="F10" s="194"/>
    </row>
    <row r="11" spans="1:6" ht="18.75" x14ac:dyDescent="0.25">
      <c r="A11" s="67"/>
      <c r="B11" s="67"/>
      <c r="C11" s="67"/>
      <c r="D11" s="67"/>
      <c r="E11" s="67"/>
      <c r="F11" s="67"/>
    </row>
    <row r="12" spans="1:6" ht="15.75" x14ac:dyDescent="0.25">
      <c r="A12" s="193" t="str">
        <f>'1. паспорт местоположение'!A12:C12</f>
        <v>O_Che475</v>
      </c>
      <c r="B12" s="193"/>
      <c r="C12" s="193"/>
      <c r="D12" s="193"/>
      <c r="E12" s="193"/>
      <c r="F12" s="193"/>
    </row>
    <row r="13" spans="1:6" ht="15.75" x14ac:dyDescent="0.25">
      <c r="A13" s="194" t="s">
        <v>3</v>
      </c>
      <c r="B13" s="194"/>
      <c r="C13" s="194"/>
      <c r="D13" s="194"/>
      <c r="E13" s="194"/>
      <c r="F13" s="194"/>
    </row>
    <row r="14" spans="1:6" ht="18.75" x14ac:dyDescent="0.25">
      <c r="A14" s="68"/>
      <c r="B14" s="68"/>
      <c r="C14" s="68"/>
      <c r="D14" s="68"/>
      <c r="E14" s="68"/>
      <c r="F14" s="68"/>
    </row>
    <row r="15" spans="1:6" ht="61.5" customHeight="1" x14ac:dyDescent="0.25">
      <c r="A15" s="195" t="str">
        <f>'1. паспорт местоположение'!A15:C15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195"/>
      <c r="C15" s="195"/>
      <c r="D15" s="195"/>
      <c r="E15" s="195"/>
      <c r="F15" s="195"/>
    </row>
    <row r="16" spans="1:6" ht="15.75" x14ac:dyDescent="0.25">
      <c r="A16" s="194" t="s">
        <v>2</v>
      </c>
      <c r="B16" s="194"/>
      <c r="C16" s="194"/>
      <c r="D16" s="194"/>
      <c r="E16" s="194"/>
      <c r="F16" s="194"/>
    </row>
    <row r="17" spans="1:6" ht="18.75" x14ac:dyDescent="0.25">
      <c r="A17" s="66"/>
      <c r="B17" s="66"/>
      <c r="C17" s="66"/>
      <c r="D17" s="66"/>
      <c r="E17" s="66"/>
      <c r="F17" s="66"/>
    </row>
    <row r="18" spans="1:6" ht="18.75" x14ac:dyDescent="0.25">
      <c r="A18" s="204" t="s">
        <v>290</v>
      </c>
      <c r="B18" s="204"/>
      <c r="C18" s="204"/>
      <c r="D18" s="204"/>
      <c r="E18" s="204"/>
      <c r="F18" s="204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36" t="s">
        <v>291</v>
      </c>
      <c r="C21" s="237"/>
      <c r="D21" s="237"/>
      <c r="E21" s="238"/>
      <c r="F21" s="33"/>
    </row>
    <row r="22" spans="1:6" ht="15.75" x14ac:dyDescent="0.25">
      <c r="A22" s="33"/>
      <c r="B22" s="233" t="s">
        <v>292</v>
      </c>
      <c r="C22" s="234"/>
      <c r="D22" s="234" t="s">
        <v>293</v>
      </c>
      <c r="E22" s="235"/>
      <c r="F22" s="33"/>
    </row>
    <row r="23" spans="1:6" ht="63" x14ac:dyDescent="0.25">
      <c r="A23" s="33"/>
      <c r="B23" s="98" t="s">
        <v>294</v>
      </c>
      <c r="C23" s="167" t="s">
        <v>462</v>
      </c>
      <c r="D23" s="99" t="s">
        <v>295</v>
      </c>
      <c r="E23" s="100" t="s">
        <v>296</v>
      </c>
      <c r="F23" s="33"/>
    </row>
    <row r="24" spans="1:6" ht="16.5" thickBot="1" x14ac:dyDescent="0.3">
      <c r="A24" s="33"/>
      <c r="B24" s="172">
        <v>-11.368</v>
      </c>
      <c r="C24" s="173">
        <v>0.14000000000000001</v>
      </c>
      <c r="D24" s="174">
        <v>14</v>
      </c>
      <c r="E24" s="175" t="s">
        <v>297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18" zoomScale="55" zoomScaleNormal="100" zoomScaleSheetLayoutView="55" workbookViewId="0">
      <selection activeCell="L38" sqref="L38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57</v>
      </c>
    </row>
    <row r="2" spans="1:44" ht="18.75" x14ac:dyDescent="0.3">
      <c r="L2" s="29" t="s">
        <v>6</v>
      </c>
    </row>
    <row r="3" spans="1:44" ht="18.75" x14ac:dyDescent="0.3">
      <c r="L3" s="29" t="s">
        <v>56</v>
      </c>
    </row>
    <row r="4" spans="1:44" ht="18.75" x14ac:dyDescent="0.3">
      <c r="K4" s="29"/>
    </row>
    <row r="5" spans="1:44" x14ac:dyDescent="0.25">
      <c r="A5" s="188" t="str">
        <f>'1. паспорт местоположение'!$A$5</f>
        <v>Год раскрытия информации: 2024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192" t="s">
        <v>5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</row>
    <row r="8" spans="1:44" ht="18.75" x14ac:dyDescent="0.25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</row>
    <row r="9" spans="1:44" x14ac:dyDescent="0.25">
      <c r="A9" s="193" t="str">
        <f>'3.3 паспорт описание'!A9:C9</f>
        <v>АО "Чеченэнерго"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</row>
    <row r="10" spans="1:44" x14ac:dyDescent="0.25">
      <c r="A10" s="194" t="s">
        <v>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</row>
    <row r="11" spans="1:44" x14ac:dyDescent="0.25">
      <c r="A11" s="221"/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</row>
    <row r="12" spans="1:44" x14ac:dyDescent="0.25">
      <c r="A12" s="193" t="str">
        <f>'3.3 паспорт описание'!A12:C12</f>
        <v>O_Che475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</row>
    <row r="13" spans="1:44" x14ac:dyDescent="0.25">
      <c r="A13" s="194" t="s">
        <v>3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</row>
    <row r="14" spans="1:44" x14ac:dyDescent="0.25">
      <c r="A14" s="222"/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</row>
    <row r="15" spans="1:44" ht="48.75" customHeight="1" x14ac:dyDescent="0.25">
      <c r="A15" s="195" t="str">
        <f>'3.3 паспорт описание'!A15:C15</f>
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</row>
    <row r="16" spans="1:44" x14ac:dyDescent="0.25">
      <c r="A16" s="194" t="s">
        <v>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2" ht="15.75" customHeight="1" x14ac:dyDescent="0.25">
      <c r="L17" s="70"/>
    </row>
    <row r="18" spans="1:12" x14ac:dyDescent="0.25">
      <c r="K18" s="6"/>
    </row>
    <row r="19" spans="1:12" ht="15.75" customHeight="1" x14ac:dyDescent="0.25">
      <c r="A19" s="250" t="s">
        <v>273</v>
      </c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</row>
    <row r="20" spans="1:12" x14ac:dyDescent="0.25">
      <c r="A20" s="71"/>
      <c r="B20" s="71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42" t="s">
        <v>158</v>
      </c>
      <c r="B21" s="242" t="s">
        <v>157</v>
      </c>
      <c r="C21" s="245" t="s">
        <v>219</v>
      </c>
      <c r="D21" s="246"/>
      <c r="E21" s="246"/>
      <c r="F21" s="246"/>
      <c r="G21" s="246"/>
      <c r="H21" s="247"/>
      <c r="I21" s="239" t="s">
        <v>156</v>
      </c>
      <c r="J21" s="239" t="s">
        <v>221</v>
      </c>
      <c r="K21" s="242" t="s">
        <v>155</v>
      </c>
      <c r="L21" s="251" t="s">
        <v>220</v>
      </c>
    </row>
    <row r="22" spans="1:12" ht="58.5" customHeight="1" x14ac:dyDescent="0.25">
      <c r="A22" s="243"/>
      <c r="B22" s="243"/>
      <c r="C22" s="248" t="s">
        <v>0</v>
      </c>
      <c r="D22" s="249"/>
      <c r="E22" s="21"/>
      <c r="F22" s="22"/>
      <c r="G22" s="248" t="str">
        <f>'6.2. Паспорт фин осв ввод'!D22</f>
        <v>Факт</v>
      </c>
      <c r="H22" s="249"/>
      <c r="I22" s="240"/>
      <c r="J22" s="240"/>
      <c r="K22" s="243"/>
      <c r="L22" s="252"/>
    </row>
    <row r="23" spans="1:12" ht="34.5" customHeight="1" x14ac:dyDescent="0.25">
      <c r="A23" s="244"/>
      <c r="B23" s="244"/>
      <c r="C23" s="17" t="s">
        <v>154</v>
      </c>
      <c r="D23" s="17" t="s">
        <v>153</v>
      </c>
      <c r="E23" s="17" t="s">
        <v>154</v>
      </c>
      <c r="F23" s="17" t="s">
        <v>153</v>
      </c>
      <c r="G23" s="17" t="s">
        <v>154</v>
      </c>
      <c r="H23" s="17" t="s">
        <v>153</v>
      </c>
      <c r="I23" s="241"/>
      <c r="J23" s="241"/>
      <c r="K23" s="244"/>
      <c r="L23" s="253"/>
    </row>
    <row r="24" spans="1:12" x14ac:dyDescent="0.25">
      <c r="A24" s="129">
        <v>1</v>
      </c>
      <c r="B24" s="129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30">
        <v>1</v>
      </c>
      <c r="B25" s="96" t="s">
        <v>152</v>
      </c>
      <c r="C25" s="36"/>
      <c r="D25" s="36"/>
      <c r="E25" s="36"/>
      <c r="F25" s="36"/>
      <c r="G25" s="36"/>
      <c r="H25" s="36"/>
      <c r="I25" s="36"/>
      <c r="J25" s="36"/>
      <c r="K25" s="4"/>
      <c r="L25" s="37"/>
    </row>
    <row r="26" spans="1:12" s="38" customFormat="1" ht="21.75" customHeight="1" x14ac:dyDescent="0.25">
      <c r="A26" s="130" t="s">
        <v>151</v>
      </c>
      <c r="B26" s="4" t="s">
        <v>226</v>
      </c>
      <c r="C26" s="41" t="s">
        <v>300</v>
      </c>
      <c r="D26" s="41" t="s">
        <v>300</v>
      </c>
      <c r="E26" s="40" t="s">
        <v>288</v>
      </c>
      <c r="F26" s="40" t="s">
        <v>288</v>
      </c>
      <c r="G26" s="182">
        <v>44953</v>
      </c>
      <c r="H26" s="182">
        <v>44554</v>
      </c>
      <c r="I26" s="41" t="s">
        <v>300</v>
      </c>
      <c r="J26" s="41" t="s">
        <v>300</v>
      </c>
      <c r="K26" s="41" t="s">
        <v>300</v>
      </c>
      <c r="L26" s="41" t="s">
        <v>300</v>
      </c>
    </row>
    <row r="27" spans="1:12" s="39" customFormat="1" ht="39" customHeight="1" x14ac:dyDescent="0.25">
      <c r="A27" s="130" t="s">
        <v>150</v>
      </c>
      <c r="B27" s="4" t="s">
        <v>228</v>
      </c>
      <c r="C27" s="41" t="s">
        <v>300</v>
      </c>
      <c r="D27" s="41" t="s">
        <v>300</v>
      </c>
      <c r="E27" s="40" t="s">
        <v>288</v>
      </c>
      <c r="F27" s="40" t="s">
        <v>288</v>
      </c>
      <c r="G27" s="41" t="s">
        <v>300</v>
      </c>
      <c r="H27" s="41" t="s">
        <v>300</v>
      </c>
      <c r="I27" s="41" t="s">
        <v>300</v>
      </c>
      <c r="J27" s="41" t="s">
        <v>300</v>
      </c>
      <c r="K27" s="41" t="s">
        <v>300</v>
      </c>
      <c r="L27" s="41" t="s">
        <v>300</v>
      </c>
    </row>
    <row r="28" spans="1:12" s="39" customFormat="1" ht="70.5" customHeight="1" x14ac:dyDescent="0.25">
      <c r="A28" s="130" t="s">
        <v>227</v>
      </c>
      <c r="B28" s="4" t="s">
        <v>232</v>
      </c>
      <c r="C28" s="41" t="s">
        <v>300</v>
      </c>
      <c r="D28" s="41" t="s">
        <v>300</v>
      </c>
      <c r="E28" s="40" t="s">
        <v>288</v>
      </c>
      <c r="F28" s="40" t="s">
        <v>288</v>
      </c>
      <c r="G28" s="41" t="s">
        <v>300</v>
      </c>
      <c r="H28" s="41" t="s">
        <v>300</v>
      </c>
      <c r="I28" s="41" t="s">
        <v>300</v>
      </c>
      <c r="J28" s="41" t="s">
        <v>300</v>
      </c>
      <c r="K28" s="41" t="s">
        <v>300</v>
      </c>
      <c r="L28" s="41" t="s">
        <v>300</v>
      </c>
    </row>
    <row r="29" spans="1:12" s="39" customFormat="1" ht="54" customHeight="1" x14ac:dyDescent="0.25">
      <c r="A29" s="130" t="s">
        <v>149</v>
      </c>
      <c r="B29" s="4" t="s">
        <v>231</v>
      </c>
      <c r="C29" s="41" t="s">
        <v>300</v>
      </c>
      <c r="D29" s="41" t="s">
        <v>300</v>
      </c>
      <c r="E29" s="40" t="s">
        <v>288</v>
      </c>
      <c r="F29" s="40" t="s">
        <v>288</v>
      </c>
      <c r="G29" s="41" t="s">
        <v>300</v>
      </c>
      <c r="H29" s="41" t="s">
        <v>300</v>
      </c>
      <c r="I29" s="41" t="s">
        <v>300</v>
      </c>
      <c r="J29" s="41" t="s">
        <v>300</v>
      </c>
      <c r="K29" s="41" t="s">
        <v>300</v>
      </c>
      <c r="L29" s="41" t="s">
        <v>300</v>
      </c>
    </row>
    <row r="30" spans="1:12" s="39" customFormat="1" ht="63.75" customHeight="1" x14ac:dyDescent="0.25">
      <c r="A30" s="130" t="s">
        <v>148</v>
      </c>
      <c r="B30" s="4" t="s">
        <v>233</v>
      </c>
      <c r="C30" s="41" t="s">
        <v>300</v>
      </c>
      <c r="D30" s="41" t="s">
        <v>300</v>
      </c>
      <c r="E30" s="36"/>
      <c r="F30" s="36"/>
      <c r="G30" s="41" t="s">
        <v>300</v>
      </c>
      <c r="H30" s="41" t="s">
        <v>300</v>
      </c>
      <c r="I30" s="41" t="s">
        <v>300</v>
      </c>
      <c r="J30" s="41" t="s">
        <v>300</v>
      </c>
      <c r="K30" s="41" t="s">
        <v>300</v>
      </c>
      <c r="L30" s="41" t="s">
        <v>300</v>
      </c>
    </row>
    <row r="31" spans="1:12" s="39" customFormat="1" ht="54" customHeight="1" x14ac:dyDescent="0.25">
      <c r="A31" s="130" t="s">
        <v>147</v>
      </c>
      <c r="B31" s="97" t="s">
        <v>229</v>
      </c>
      <c r="C31" s="41" t="s">
        <v>300</v>
      </c>
      <c r="D31" s="41" t="s">
        <v>300</v>
      </c>
      <c r="E31" s="36"/>
      <c r="F31" s="36"/>
      <c r="G31" s="182">
        <v>45240</v>
      </c>
      <c r="H31" s="182">
        <v>45240</v>
      </c>
      <c r="I31" s="41">
        <v>1</v>
      </c>
      <c r="J31" s="41" t="s">
        <v>300</v>
      </c>
      <c r="K31" s="41" t="s">
        <v>300</v>
      </c>
      <c r="L31" s="41" t="s">
        <v>300</v>
      </c>
    </row>
    <row r="32" spans="1:12" s="39" customFormat="1" ht="31.5" x14ac:dyDescent="0.25">
      <c r="A32" s="130" t="s">
        <v>145</v>
      </c>
      <c r="B32" s="97" t="s">
        <v>234</v>
      </c>
      <c r="C32" s="41" t="s">
        <v>300</v>
      </c>
      <c r="D32" s="41" t="s">
        <v>300</v>
      </c>
      <c r="E32" s="36"/>
      <c r="F32" s="36"/>
      <c r="G32" s="182">
        <v>45356</v>
      </c>
      <c r="H32" s="182">
        <v>45356</v>
      </c>
      <c r="I32" s="41">
        <v>1</v>
      </c>
      <c r="J32" s="41" t="s">
        <v>300</v>
      </c>
      <c r="K32" s="41" t="s">
        <v>300</v>
      </c>
      <c r="L32" s="41" t="s">
        <v>300</v>
      </c>
    </row>
    <row r="33" spans="1:12" s="39" customFormat="1" ht="41.25" customHeight="1" x14ac:dyDescent="0.25">
      <c r="A33" s="130" t="s">
        <v>245</v>
      </c>
      <c r="B33" s="97" t="s">
        <v>172</v>
      </c>
      <c r="C33" s="41" t="s">
        <v>300</v>
      </c>
      <c r="D33" s="41" t="s">
        <v>300</v>
      </c>
      <c r="E33" s="36"/>
      <c r="F33" s="36"/>
      <c r="G33" s="41" t="s">
        <v>300</v>
      </c>
      <c r="H33" s="41" t="s">
        <v>300</v>
      </c>
      <c r="I33" s="41" t="s">
        <v>300</v>
      </c>
      <c r="J33" s="41" t="s">
        <v>300</v>
      </c>
      <c r="K33" s="41" t="s">
        <v>300</v>
      </c>
      <c r="L33" s="41" t="s">
        <v>300</v>
      </c>
    </row>
    <row r="34" spans="1:12" s="39" customFormat="1" ht="47.25" customHeight="1" x14ac:dyDescent="0.25">
      <c r="A34" s="130" t="s">
        <v>246</v>
      </c>
      <c r="B34" s="97" t="s">
        <v>238</v>
      </c>
      <c r="C34" s="41" t="s">
        <v>300</v>
      </c>
      <c r="D34" s="41" t="s">
        <v>300</v>
      </c>
      <c r="E34" s="41" t="s">
        <v>300</v>
      </c>
      <c r="F34" s="41" t="s">
        <v>300</v>
      </c>
      <c r="G34" s="41" t="s">
        <v>300</v>
      </c>
      <c r="H34" s="41" t="s">
        <v>300</v>
      </c>
      <c r="I34" s="41" t="s">
        <v>300</v>
      </c>
      <c r="J34" s="41" t="s">
        <v>300</v>
      </c>
      <c r="K34" s="41" t="s">
        <v>300</v>
      </c>
      <c r="L34" s="41" t="s">
        <v>300</v>
      </c>
    </row>
    <row r="35" spans="1:12" s="39" customFormat="1" ht="49.5" customHeight="1" x14ac:dyDescent="0.25">
      <c r="A35" s="130" t="s">
        <v>247</v>
      </c>
      <c r="B35" s="97" t="s">
        <v>146</v>
      </c>
      <c r="C35" s="41" t="s">
        <v>300</v>
      </c>
      <c r="D35" s="41" t="s">
        <v>300</v>
      </c>
      <c r="E35" s="42"/>
      <c r="F35" s="42"/>
      <c r="G35" s="41" t="s">
        <v>300</v>
      </c>
      <c r="H35" s="41" t="s">
        <v>300</v>
      </c>
      <c r="I35" s="41" t="s">
        <v>300</v>
      </c>
      <c r="J35" s="41" t="s">
        <v>300</v>
      </c>
      <c r="K35" s="41" t="s">
        <v>300</v>
      </c>
      <c r="L35" s="41" t="s">
        <v>300</v>
      </c>
    </row>
    <row r="36" spans="1:12" s="38" customFormat="1" ht="37.5" customHeight="1" x14ac:dyDescent="0.25">
      <c r="A36" s="130" t="s">
        <v>248</v>
      </c>
      <c r="B36" s="97" t="s">
        <v>230</v>
      </c>
      <c r="C36" s="41" t="s">
        <v>300</v>
      </c>
      <c r="D36" s="41" t="s">
        <v>300</v>
      </c>
      <c r="E36" s="40">
        <v>42884</v>
      </c>
      <c r="F36" s="40">
        <v>42884</v>
      </c>
      <c r="G36" s="41" t="s">
        <v>300</v>
      </c>
      <c r="H36" s="41" t="s">
        <v>300</v>
      </c>
      <c r="I36" s="41" t="s">
        <v>300</v>
      </c>
      <c r="J36" s="41" t="s">
        <v>300</v>
      </c>
      <c r="K36" s="41" t="s">
        <v>300</v>
      </c>
      <c r="L36" s="41" t="s">
        <v>300</v>
      </c>
    </row>
    <row r="37" spans="1:12" s="38" customFormat="1" ht="27" customHeight="1" x14ac:dyDescent="0.25">
      <c r="A37" s="130" t="s">
        <v>249</v>
      </c>
      <c r="B37" s="97" t="s">
        <v>144</v>
      </c>
      <c r="C37" s="135" t="str">
        <f>C31</f>
        <v>нд</v>
      </c>
      <c r="D37" s="135" t="str">
        <f>D32</f>
        <v>нд</v>
      </c>
      <c r="E37" s="43"/>
      <c r="F37" s="42"/>
      <c r="G37" s="135">
        <f>G31</f>
        <v>45240</v>
      </c>
      <c r="H37" s="135">
        <f>H32</f>
        <v>45356</v>
      </c>
      <c r="I37" s="41">
        <v>1</v>
      </c>
      <c r="J37" s="41" t="s">
        <v>300</v>
      </c>
      <c r="K37" s="41" t="s">
        <v>300</v>
      </c>
      <c r="L37" s="41" t="s">
        <v>300</v>
      </c>
    </row>
    <row r="38" spans="1:12" s="38" customFormat="1" ht="30.75" customHeight="1" x14ac:dyDescent="0.25">
      <c r="A38" s="130" t="s">
        <v>250</v>
      </c>
      <c r="B38" s="96" t="s">
        <v>143</v>
      </c>
      <c r="C38" s="41"/>
      <c r="D38" s="41"/>
      <c r="E38" s="4"/>
      <c r="F38" s="4"/>
      <c r="G38" s="41"/>
      <c r="H38" s="41"/>
      <c r="I38" s="41" t="s">
        <v>300</v>
      </c>
      <c r="J38" s="41"/>
      <c r="K38" s="4"/>
      <c r="L38" s="4"/>
    </row>
    <row r="39" spans="1:12" s="38" customFormat="1" ht="78.75" x14ac:dyDescent="0.25">
      <c r="A39" s="130">
        <v>2</v>
      </c>
      <c r="B39" s="97" t="s">
        <v>235</v>
      </c>
      <c r="C39" s="41" t="s">
        <v>300</v>
      </c>
      <c r="D39" s="41" t="s">
        <v>300</v>
      </c>
      <c r="E39" s="41" t="s">
        <v>300</v>
      </c>
      <c r="F39" s="41" t="s">
        <v>300</v>
      </c>
      <c r="G39" s="41" t="s">
        <v>300</v>
      </c>
      <c r="H39" s="41" t="s">
        <v>300</v>
      </c>
      <c r="I39" s="41" t="s">
        <v>300</v>
      </c>
      <c r="J39" s="41" t="s">
        <v>300</v>
      </c>
      <c r="K39" s="41" t="s">
        <v>300</v>
      </c>
      <c r="L39" s="41" t="s">
        <v>300</v>
      </c>
    </row>
    <row r="40" spans="1:12" s="38" customFormat="1" ht="33.75" customHeight="1" x14ac:dyDescent="0.25">
      <c r="A40" s="130" t="s">
        <v>142</v>
      </c>
      <c r="B40" s="97" t="s">
        <v>237</v>
      </c>
      <c r="C40" s="41" t="s">
        <v>300</v>
      </c>
      <c r="D40" s="41" t="s">
        <v>300</v>
      </c>
      <c r="E40" s="41" t="s">
        <v>300</v>
      </c>
      <c r="F40" s="41" t="s">
        <v>300</v>
      </c>
      <c r="G40" s="41" t="s">
        <v>300</v>
      </c>
      <c r="H40" s="41" t="s">
        <v>300</v>
      </c>
      <c r="I40" s="41" t="s">
        <v>300</v>
      </c>
      <c r="J40" s="41" t="s">
        <v>300</v>
      </c>
      <c r="K40" s="41" t="s">
        <v>300</v>
      </c>
      <c r="L40" s="41" t="s">
        <v>300</v>
      </c>
    </row>
    <row r="41" spans="1:12" s="38" customFormat="1" ht="63" customHeight="1" x14ac:dyDescent="0.25">
      <c r="A41" s="130" t="s">
        <v>141</v>
      </c>
      <c r="B41" s="96" t="s">
        <v>286</v>
      </c>
      <c r="C41" s="41"/>
      <c r="D41" s="41"/>
      <c r="E41" s="41"/>
      <c r="F41" s="41"/>
      <c r="G41" s="41"/>
      <c r="H41" s="41"/>
      <c r="I41" s="41"/>
      <c r="J41" s="41"/>
      <c r="K41" s="4"/>
      <c r="L41" s="4"/>
    </row>
    <row r="42" spans="1:12" s="38" customFormat="1" ht="58.5" customHeight="1" x14ac:dyDescent="0.25">
      <c r="A42" s="130">
        <v>3</v>
      </c>
      <c r="B42" s="97" t="s">
        <v>236</v>
      </c>
      <c r="C42" s="41" t="s">
        <v>300</v>
      </c>
      <c r="D42" s="41" t="s">
        <v>300</v>
      </c>
      <c r="E42" s="41" t="s">
        <v>300</v>
      </c>
      <c r="F42" s="41" t="s">
        <v>300</v>
      </c>
      <c r="G42" s="41" t="s">
        <v>300</v>
      </c>
      <c r="H42" s="41" t="s">
        <v>300</v>
      </c>
      <c r="I42" s="41" t="s">
        <v>300</v>
      </c>
      <c r="J42" s="41" t="s">
        <v>300</v>
      </c>
      <c r="K42" s="41" t="s">
        <v>300</v>
      </c>
      <c r="L42" s="41" t="s">
        <v>300</v>
      </c>
    </row>
    <row r="43" spans="1:12" s="38" customFormat="1" ht="34.5" customHeight="1" x14ac:dyDescent="0.25">
      <c r="A43" s="130" t="s">
        <v>140</v>
      </c>
      <c r="B43" s="97" t="s">
        <v>138</v>
      </c>
      <c r="C43" s="41" t="s">
        <v>300</v>
      </c>
      <c r="D43" s="41" t="s">
        <v>300</v>
      </c>
      <c r="E43" s="41" t="s">
        <v>300</v>
      </c>
      <c r="F43" s="41" t="s">
        <v>300</v>
      </c>
      <c r="G43" s="41" t="s">
        <v>300</v>
      </c>
      <c r="H43" s="41" t="s">
        <v>300</v>
      </c>
      <c r="I43" s="41" t="s">
        <v>300</v>
      </c>
      <c r="J43" s="41" t="s">
        <v>300</v>
      </c>
      <c r="K43" s="41" t="s">
        <v>300</v>
      </c>
      <c r="L43" s="41" t="s">
        <v>300</v>
      </c>
    </row>
    <row r="44" spans="1:12" s="38" customFormat="1" ht="24.75" customHeight="1" x14ac:dyDescent="0.25">
      <c r="A44" s="130" t="s">
        <v>139</v>
      </c>
      <c r="B44" s="97" t="s">
        <v>136</v>
      </c>
      <c r="C44" s="41" t="s">
        <v>300</v>
      </c>
      <c r="D44" s="41" t="s">
        <v>300</v>
      </c>
      <c r="E44" s="41" t="s">
        <v>300</v>
      </c>
      <c r="F44" s="41" t="s">
        <v>300</v>
      </c>
      <c r="G44" s="41" t="s">
        <v>300</v>
      </c>
      <c r="H44" s="41" t="s">
        <v>300</v>
      </c>
      <c r="I44" s="41" t="s">
        <v>300</v>
      </c>
      <c r="J44" s="41" t="s">
        <v>300</v>
      </c>
      <c r="K44" s="41" t="s">
        <v>300</v>
      </c>
      <c r="L44" s="41" t="s">
        <v>300</v>
      </c>
    </row>
    <row r="45" spans="1:12" s="38" customFormat="1" ht="90.75" customHeight="1" x14ac:dyDescent="0.25">
      <c r="A45" s="130" t="s">
        <v>137</v>
      </c>
      <c r="B45" s="97" t="s">
        <v>241</v>
      </c>
      <c r="C45" s="41" t="s">
        <v>300</v>
      </c>
      <c r="D45" s="41" t="s">
        <v>300</v>
      </c>
      <c r="E45" s="41" t="s">
        <v>300</v>
      </c>
      <c r="F45" s="41" t="s">
        <v>300</v>
      </c>
      <c r="G45" s="41" t="s">
        <v>300</v>
      </c>
      <c r="H45" s="41" t="s">
        <v>300</v>
      </c>
      <c r="I45" s="41" t="s">
        <v>300</v>
      </c>
      <c r="J45" s="41" t="s">
        <v>300</v>
      </c>
      <c r="K45" s="41" t="s">
        <v>300</v>
      </c>
      <c r="L45" s="41" t="s">
        <v>300</v>
      </c>
    </row>
    <row r="46" spans="1:12" s="38" customFormat="1" ht="167.25" customHeight="1" x14ac:dyDescent="0.25">
      <c r="A46" s="130" t="s">
        <v>135</v>
      </c>
      <c r="B46" s="97" t="s">
        <v>239</v>
      </c>
      <c r="C46" s="41" t="s">
        <v>300</v>
      </c>
      <c r="D46" s="41" t="s">
        <v>300</v>
      </c>
      <c r="E46" s="41" t="s">
        <v>300</v>
      </c>
      <c r="F46" s="41" t="s">
        <v>300</v>
      </c>
      <c r="G46" s="41" t="s">
        <v>300</v>
      </c>
      <c r="H46" s="41" t="s">
        <v>300</v>
      </c>
      <c r="I46" s="41" t="s">
        <v>300</v>
      </c>
      <c r="J46" s="41" t="s">
        <v>300</v>
      </c>
      <c r="K46" s="41" t="s">
        <v>300</v>
      </c>
      <c r="L46" s="41" t="s">
        <v>300</v>
      </c>
    </row>
    <row r="47" spans="1:12" s="38" customFormat="1" ht="30.75" customHeight="1" x14ac:dyDescent="0.25">
      <c r="A47" s="130" t="s">
        <v>133</v>
      </c>
      <c r="B47" s="97" t="s">
        <v>134</v>
      </c>
      <c r="C47" s="41" t="s">
        <v>300</v>
      </c>
      <c r="D47" s="41" t="s">
        <v>300</v>
      </c>
      <c r="E47" s="41" t="s">
        <v>300</v>
      </c>
      <c r="F47" s="41" t="s">
        <v>300</v>
      </c>
      <c r="G47" s="41" t="s">
        <v>300</v>
      </c>
      <c r="H47" s="41" t="s">
        <v>300</v>
      </c>
      <c r="I47" s="41" t="s">
        <v>300</v>
      </c>
      <c r="J47" s="41" t="s">
        <v>300</v>
      </c>
      <c r="K47" s="41" t="s">
        <v>300</v>
      </c>
      <c r="L47" s="41" t="s">
        <v>300</v>
      </c>
    </row>
    <row r="48" spans="1:12" s="38" customFormat="1" ht="37.5" customHeight="1" x14ac:dyDescent="0.25">
      <c r="A48" s="130" t="s">
        <v>251</v>
      </c>
      <c r="B48" s="96" t="s">
        <v>132</v>
      </c>
      <c r="C48" s="41"/>
      <c r="D48" s="41"/>
      <c r="E48" s="41"/>
      <c r="F48" s="41"/>
      <c r="G48" s="41"/>
      <c r="H48" s="41"/>
      <c r="I48" s="41"/>
      <c r="J48" s="41"/>
      <c r="K48" s="4"/>
      <c r="L48" s="4"/>
    </row>
    <row r="49" spans="1:12" s="38" customFormat="1" ht="35.25" customHeight="1" x14ac:dyDescent="0.25">
      <c r="A49" s="130">
        <v>4</v>
      </c>
      <c r="B49" s="97" t="s">
        <v>130</v>
      </c>
      <c r="C49" s="41" t="s">
        <v>300</v>
      </c>
      <c r="D49" s="41" t="s">
        <v>300</v>
      </c>
      <c r="E49" s="41" t="s">
        <v>300</v>
      </c>
      <c r="F49" s="41" t="s">
        <v>300</v>
      </c>
      <c r="G49" s="41" t="s">
        <v>300</v>
      </c>
      <c r="H49" s="41" t="s">
        <v>300</v>
      </c>
      <c r="I49" s="41" t="s">
        <v>300</v>
      </c>
      <c r="J49" s="41" t="s">
        <v>300</v>
      </c>
      <c r="K49" s="41" t="s">
        <v>300</v>
      </c>
      <c r="L49" s="41" t="s">
        <v>300</v>
      </c>
    </row>
    <row r="50" spans="1:12" s="38" customFormat="1" ht="86.25" customHeight="1" x14ac:dyDescent="0.25">
      <c r="A50" s="130" t="s">
        <v>131</v>
      </c>
      <c r="B50" s="97" t="s">
        <v>240</v>
      </c>
      <c r="C50" s="41" t="s">
        <v>300</v>
      </c>
      <c r="D50" s="41" t="s">
        <v>300</v>
      </c>
      <c r="E50" s="41" t="s">
        <v>300</v>
      </c>
      <c r="F50" s="41" t="s">
        <v>300</v>
      </c>
      <c r="G50" s="41" t="s">
        <v>300</v>
      </c>
      <c r="H50" s="41" t="s">
        <v>300</v>
      </c>
      <c r="I50" s="41" t="s">
        <v>300</v>
      </c>
      <c r="J50" s="41" t="s">
        <v>300</v>
      </c>
      <c r="K50" s="41" t="s">
        <v>300</v>
      </c>
      <c r="L50" s="41" t="s">
        <v>300</v>
      </c>
    </row>
    <row r="51" spans="1:12" s="38" customFormat="1" ht="77.25" customHeight="1" x14ac:dyDescent="0.25">
      <c r="A51" s="130" t="s">
        <v>129</v>
      </c>
      <c r="B51" s="97" t="s">
        <v>242</v>
      </c>
      <c r="C51" s="41" t="s">
        <v>300</v>
      </c>
      <c r="D51" s="41" t="s">
        <v>300</v>
      </c>
      <c r="E51" s="41" t="s">
        <v>300</v>
      </c>
      <c r="F51" s="41" t="s">
        <v>300</v>
      </c>
      <c r="G51" s="41" t="s">
        <v>300</v>
      </c>
      <c r="H51" s="41" t="s">
        <v>300</v>
      </c>
      <c r="I51" s="41" t="s">
        <v>300</v>
      </c>
      <c r="J51" s="41" t="s">
        <v>300</v>
      </c>
      <c r="K51" s="41" t="s">
        <v>300</v>
      </c>
      <c r="L51" s="41" t="s">
        <v>300</v>
      </c>
    </row>
    <row r="52" spans="1:12" s="38" customFormat="1" ht="71.25" customHeight="1" x14ac:dyDescent="0.25">
      <c r="A52" s="130" t="s">
        <v>127</v>
      </c>
      <c r="B52" s="97" t="s">
        <v>128</v>
      </c>
      <c r="C52" s="41" t="s">
        <v>300</v>
      </c>
      <c r="D52" s="41" t="s">
        <v>300</v>
      </c>
      <c r="E52" s="41" t="s">
        <v>300</v>
      </c>
      <c r="F52" s="41" t="s">
        <v>300</v>
      </c>
      <c r="G52" s="41" t="s">
        <v>300</v>
      </c>
      <c r="H52" s="41" t="s">
        <v>300</v>
      </c>
      <c r="I52" s="41" t="s">
        <v>300</v>
      </c>
      <c r="J52" s="41" t="s">
        <v>300</v>
      </c>
      <c r="K52" s="41" t="s">
        <v>300</v>
      </c>
      <c r="L52" s="41" t="s">
        <v>300</v>
      </c>
    </row>
    <row r="53" spans="1:12" s="38" customFormat="1" ht="48" customHeight="1" x14ac:dyDescent="0.25">
      <c r="A53" s="130" t="s">
        <v>125</v>
      </c>
      <c r="B53" s="38" t="s">
        <v>243</v>
      </c>
      <c r="C53" s="41" t="s">
        <v>300</v>
      </c>
      <c r="D53" s="41" t="s">
        <v>300</v>
      </c>
      <c r="E53" s="41" t="s">
        <v>300</v>
      </c>
      <c r="F53" s="41" t="s">
        <v>300</v>
      </c>
      <c r="G53" s="41" t="s">
        <v>300</v>
      </c>
      <c r="H53" s="41" t="s">
        <v>300</v>
      </c>
      <c r="I53" s="41" t="s">
        <v>300</v>
      </c>
      <c r="J53" s="41" t="s">
        <v>300</v>
      </c>
      <c r="K53" s="41" t="s">
        <v>300</v>
      </c>
      <c r="L53" s="41" t="s">
        <v>300</v>
      </c>
    </row>
    <row r="54" spans="1:12" s="38" customFormat="1" ht="46.5" customHeight="1" x14ac:dyDescent="0.25">
      <c r="A54" s="130" t="s">
        <v>244</v>
      </c>
      <c r="B54" s="97" t="s">
        <v>126</v>
      </c>
      <c r="C54" s="41" t="s">
        <v>300</v>
      </c>
      <c r="D54" s="41" t="s">
        <v>300</v>
      </c>
      <c r="E54" s="41" t="s">
        <v>300</v>
      </c>
      <c r="F54" s="41" t="s">
        <v>300</v>
      </c>
      <c r="G54" s="41" t="s">
        <v>300</v>
      </c>
      <c r="H54" s="41" t="s">
        <v>300</v>
      </c>
      <c r="I54" s="41" t="s">
        <v>300</v>
      </c>
      <c r="J54" s="41" t="s">
        <v>300</v>
      </c>
      <c r="K54" s="41" t="s">
        <v>300</v>
      </c>
      <c r="L54" s="41" t="s">
        <v>300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2024-07-31T13:54:30Z</dcterms:modified>
</cp:coreProperties>
</file>